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15" yWindow="90" windowWidth="13020" windowHeight="8025"/>
  </bookViews>
  <sheets>
    <sheet name="Invest Ziel" sheetId="10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G22" i="10" l="1"/>
  <c r="G21" i="10"/>
  <c r="F22" i="10"/>
  <c r="F21" i="10"/>
  <c r="G84" i="10"/>
  <c r="F84" i="10"/>
  <c r="G107" i="10" l="1"/>
  <c r="F107" i="10"/>
  <c r="E107" i="10"/>
  <c r="E79" i="10" l="1"/>
  <c r="E105" i="10" l="1"/>
  <c r="E91" i="10" s="1"/>
  <c r="E84" i="10"/>
  <c r="E85" i="10" s="1"/>
  <c r="F85" i="10"/>
  <c r="E67" i="10" l="1"/>
  <c r="E121" i="10"/>
  <c r="E126" i="10" s="1"/>
  <c r="F121" i="10"/>
  <c r="G121" i="10"/>
  <c r="G30" i="10"/>
  <c r="F30" i="10"/>
  <c r="E23" i="10"/>
  <c r="G85" i="10" l="1"/>
  <c r="E68" i="10"/>
  <c r="E69" i="10" s="1"/>
  <c r="E72" i="10" s="1"/>
  <c r="G67" i="10"/>
  <c r="G68" i="10" s="1"/>
  <c r="G69" i="10" s="1"/>
  <c r="G72" i="10" s="1"/>
  <c r="F67" i="10"/>
  <c r="F68" i="10" s="1"/>
  <c r="F69" i="10" s="1"/>
  <c r="F72" i="10" s="1"/>
  <c r="E56" i="10"/>
  <c r="E61" i="10" s="1"/>
  <c r="G55" i="10"/>
  <c r="F55" i="10"/>
  <c r="G54" i="10"/>
  <c r="F54" i="10"/>
  <c r="G53" i="10"/>
  <c r="F53" i="10"/>
  <c r="G52" i="10"/>
  <c r="F52" i="10"/>
  <c r="F27" i="10"/>
  <c r="G27" i="10"/>
  <c r="F28" i="10"/>
  <c r="G28" i="10"/>
  <c r="E51" i="10"/>
  <c r="E59" i="10" s="1"/>
  <c r="G40" i="10"/>
  <c r="F40" i="10"/>
  <c r="G38" i="10"/>
  <c r="F33" i="10"/>
  <c r="G33" i="10"/>
  <c r="F39" i="10"/>
  <c r="G39" i="10"/>
  <c r="F43" i="10"/>
  <c r="G43" i="10"/>
  <c r="F47" i="10"/>
  <c r="G47" i="10"/>
  <c r="F49" i="10"/>
  <c r="G49" i="10"/>
  <c r="F50" i="10"/>
  <c r="G50" i="10"/>
  <c r="F32" i="10"/>
  <c r="G32" i="10"/>
  <c r="F34" i="10"/>
  <c r="G34" i="10"/>
  <c r="F35" i="10"/>
  <c r="G35" i="10"/>
  <c r="G26" i="10"/>
  <c r="F26" i="10"/>
  <c r="G37" i="10"/>
  <c r="F37" i="10"/>
  <c r="G36" i="10"/>
  <c r="F36" i="10"/>
  <c r="E86" i="10" l="1"/>
  <c r="F56" i="10"/>
  <c r="F61" i="10" s="1"/>
  <c r="E41" i="10"/>
  <c r="G56" i="10"/>
  <c r="G61" i="10" s="1"/>
  <c r="F51" i="10"/>
  <c r="F59" i="10" s="1"/>
  <c r="G51" i="10"/>
  <c r="G59" i="10" s="1"/>
  <c r="G41" i="10"/>
  <c r="F38" i="10"/>
  <c r="E92" i="10"/>
  <c r="F126" i="10"/>
  <c r="E119" i="10"/>
  <c r="E120" i="10" s="1"/>
  <c r="E125" i="10" s="1"/>
  <c r="E87" i="10"/>
  <c r="F87" i="10" s="1"/>
  <c r="G105" i="10"/>
  <c r="G91" i="10" s="1"/>
  <c r="F105" i="10"/>
  <c r="F91" i="10" s="1"/>
  <c r="E103" i="10"/>
  <c r="E90" i="10" s="1"/>
  <c r="F102" i="10"/>
  <c r="F89" i="10" s="1"/>
  <c r="E102" i="10"/>
  <c r="E89" i="10" s="1"/>
  <c r="E100" i="10"/>
  <c r="G42" i="10" l="1"/>
  <c r="G58" i="10" s="1"/>
  <c r="G60" i="10" s="1"/>
  <c r="E42" i="10"/>
  <c r="E58" i="10" s="1"/>
  <c r="E60" i="10" s="1"/>
  <c r="F41" i="10"/>
  <c r="F100" i="10"/>
  <c r="G102" i="10"/>
  <c r="G89" i="10" s="1"/>
  <c r="G87" i="10"/>
  <c r="F103" i="10"/>
  <c r="F90" i="10" s="1"/>
  <c r="G103" i="10"/>
  <c r="G90" i="10" s="1"/>
  <c r="G92" i="10"/>
  <c r="F92" i="10"/>
  <c r="E88" i="10"/>
  <c r="E101" i="10" s="1"/>
  <c r="E99" i="10"/>
  <c r="E127" i="10"/>
  <c r="E152" i="10" s="1"/>
  <c r="E122" i="10"/>
  <c r="G100" i="10"/>
  <c r="F119" i="10"/>
  <c r="F120" i="10" s="1"/>
  <c r="G126" i="10"/>
  <c r="G119" i="10"/>
  <c r="G120" i="10" s="1"/>
  <c r="G122" i="10" s="1"/>
  <c r="E62" i="10" l="1"/>
  <c r="E63" i="10" s="1"/>
  <c r="E64" i="10" s="1"/>
  <c r="E109" i="10"/>
  <c r="E93" i="10" s="1"/>
  <c r="G62" i="10"/>
  <c r="G63" i="10" s="1"/>
  <c r="G64" i="10" s="1"/>
  <c r="G109" i="10"/>
  <c r="F42" i="10"/>
  <c r="F58" i="10" s="1"/>
  <c r="F60" i="10" s="1"/>
  <c r="E164" i="10"/>
  <c r="F125" i="10"/>
  <c r="F127" i="10" s="1"/>
  <c r="F152" i="10" s="1"/>
  <c r="E170" i="10"/>
  <c r="E158" i="10"/>
  <c r="F122" i="10"/>
  <c r="G170" i="10"/>
  <c r="G158" i="10"/>
  <c r="G125" i="10"/>
  <c r="G127" i="10" s="1"/>
  <c r="G152" i="10" s="1"/>
  <c r="E96" i="10" l="1"/>
  <c r="E131" i="10" s="1"/>
  <c r="E141" i="10" s="1"/>
  <c r="E112" i="10"/>
  <c r="E136" i="10" s="1"/>
  <c r="E146" i="10" s="1"/>
  <c r="E71" i="10"/>
  <c r="E73" i="10" s="1"/>
  <c r="E75" i="10" s="1"/>
  <c r="E150" i="10" s="1"/>
  <c r="F62" i="10"/>
  <c r="F63" i="10" s="1"/>
  <c r="F64" i="10" s="1"/>
  <c r="F109" i="10"/>
  <c r="G71" i="10"/>
  <c r="G73" i="10" s="1"/>
  <c r="E94" i="10"/>
  <c r="E157" i="10" s="1"/>
  <c r="E110" i="10"/>
  <c r="E151" i="10" s="1"/>
  <c r="G164" i="10"/>
  <c r="F170" i="10"/>
  <c r="F158" i="10"/>
  <c r="F164" i="10"/>
  <c r="F71" i="10" l="1"/>
  <c r="F73" i="10" s="1"/>
  <c r="F74" i="10" s="1"/>
  <c r="F168" i="10" s="1"/>
  <c r="G162" i="10"/>
  <c r="E169" i="10"/>
  <c r="E95" i="10"/>
  <c r="E113" i="10"/>
  <c r="F93" i="10"/>
  <c r="F112" i="10" s="1"/>
  <c r="F136" i="10" s="1"/>
  <c r="G93" i="10"/>
  <c r="G112" i="10" s="1"/>
  <c r="G136" i="10" s="1"/>
  <c r="E163" i="10"/>
  <c r="E130" i="10" l="1"/>
  <c r="E140" i="10" s="1"/>
  <c r="E142" i="10" s="1"/>
  <c r="E111" i="10"/>
  <c r="E135" i="10" s="1"/>
  <c r="F75" i="10"/>
  <c r="F76" i="10" s="1"/>
  <c r="F156" i="10" s="1"/>
  <c r="G75" i="10"/>
  <c r="G150" i="10" s="1"/>
  <c r="G74" i="10"/>
  <c r="G168" i="10" s="1"/>
  <c r="F162" i="10"/>
  <c r="E162" i="10"/>
  <c r="E165" i="10" s="1"/>
  <c r="E74" i="10"/>
  <c r="E168" i="10" s="1"/>
  <c r="E171" i="10" s="1"/>
  <c r="G96" i="10"/>
  <c r="G131" i="10" s="1"/>
  <c r="F96" i="10"/>
  <c r="F131" i="10" s="1"/>
  <c r="E137" i="10" l="1"/>
  <c r="E132" i="10"/>
  <c r="E145" i="10"/>
  <c r="E147" i="10" s="1"/>
  <c r="F150" i="10"/>
  <c r="G76" i="10"/>
  <c r="G156" i="10" s="1"/>
  <c r="E153" i="10"/>
  <c r="E76" i="10"/>
  <c r="E156" i="10" s="1"/>
  <c r="E159" i="10" s="1"/>
  <c r="F141" i="10"/>
  <c r="G141" i="10"/>
  <c r="F146" i="10" l="1"/>
  <c r="G146" i="10"/>
  <c r="G23" i="10" l="1"/>
  <c r="G79" i="10"/>
  <c r="G86" i="10" s="1"/>
  <c r="G99" i="10" l="1"/>
  <c r="G88" i="10"/>
  <c r="G101" i="10" l="1"/>
  <c r="G110" i="10" s="1"/>
  <c r="G94" i="10"/>
  <c r="G95" i="10" l="1"/>
  <c r="G169" i="10"/>
  <c r="G171" i="10" s="1"/>
  <c r="G157" i="10"/>
  <c r="G159" i="10" s="1"/>
  <c r="G113" i="10"/>
  <c r="G151" i="10"/>
  <c r="G163" i="10" l="1"/>
  <c r="G165" i="10" s="1"/>
  <c r="G153" i="10"/>
  <c r="G130" i="10"/>
  <c r="G111" i="10"/>
  <c r="G135" i="10" s="1"/>
  <c r="G137" i="10" l="1"/>
  <c r="G145" i="10"/>
  <c r="G147" i="10" s="1"/>
  <c r="G132" i="10"/>
  <c r="G140" i="10"/>
  <c r="G142" i="10" s="1"/>
  <c r="F23" i="10"/>
  <c r="F79" i="10"/>
  <c r="F86" i="10"/>
  <c r="F99" i="10" s="1"/>
  <c r="F88" i="10" l="1"/>
  <c r="F94" i="10" l="1"/>
  <c r="F101" i="10"/>
  <c r="F110" i="10" s="1"/>
  <c r="F151" i="10" l="1"/>
  <c r="F113" i="10"/>
  <c r="F157" i="10"/>
  <c r="F159" i="10" s="1"/>
  <c r="F95" i="10"/>
  <c r="F169" i="10"/>
  <c r="F171" i="10" s="1"/>
  <c r="F130" i="10" l="1"/>
  <c r="F111" i="10"/>
  <c r="F135" i="10" s="1"/>
  <c r="F163" i="10"/>
  <c r="F165" i="10" s="1"/>
  <c r="F153" i="10"/>
  <c r="F137" i="10" l="1"/>
  <c r="F145" i="10"/>
  <c r="F147" i="10" s="1"/>
  <c r="F132" i="10"/>
  <c r="F140" i="10"/>
  <c r="F142" i="10" s="1"/>
</calcChain>
</file>

<file path=xl/sharedStrings.xml><?xml version="1.0" encoding="utf-8"?>
<sst xmlns="http://schemas.openxmlformats.org/spreadsheetml/2006/main" count="388" uniqueCount="187">
  <si>
    <t>Strombedarf</t>
  </si>
  <si>
    <t>Strombedarf pro Jahr</t>
  </si>
  <si>
    <t>Summe:</t>
  </si>
  <si>
    <t>interne Kosten Bauträger</t>
  </si>
  <si>
    <t>Einsparung Wärme</t>
  </si>
  <si>
    <t>Einsparung Schimmel</t>
  </si>
  <si>
    <t>Anzahl Wohnungen</t>
  </si>
  <si>
    <t>kWh/m²EBF</t>
  </si>
  <si>
    <t>€/Whg</t>
  </si>
  <si>
    <t>Einsparung Wärmekosten</t>
  </si>
  <si>
    <t>Preis pro kWh</t>
  </si>
  <si>
    <t>€/kWh</t>
  </si>
  <si>
    <t>Strompreis</t>
  </si>
  <si>
    <t>kWh/a</t>
  </si>
  <si>
    <t>€/a</t>
  </si>
  <si>
    <t>€/m²</t>
  </si>
  <si>
    <t>Stk.</t>
  </si>
  <si>
    <t>m²</t>
  </si>
  <si>
    <t>Einsparung Gesamt</t>
  </si>
  <si>
    <t>Mieter/Käufer</t>
  </si>
  <si>
    <t>Gesamt</t>
  </si>
  <si>
    <t>kWh/m²</t>
  </si>
  <si>
    <t>3 bis 5 Punkte aus HWB und 2 Punkte über (300 m²)</t>
  </si>
  <si>
    <t>Brandschutzkontrollen p.a</t>
  </si>
  <si>
    <t>Stromkosten p.a</t>
  </si>
  <si>
    <t>Filterkosten p.a</t>
  </si>
  <si>
    <t>Instandhaltung p.a.</t>
  </si>
  <si>
    <t>aber hat den zusätzlichen Komfort, Gesundheit,…</t>
  </si>
  <si>
    <t>€/m² u. P.</t>
  </si>
  <si>
    <t>Punkte</t>
  </si>
  <si>
    <t>Einsparung Heizkessel (Heizlast)</t>
  </si>
  <si>
    <t>Betriebskosten/m² pro Jahr</t>
  </si>
  <si>
    <t>€/m²a</t>
  </si>
  <si>
    <t>€/Whg a</t>
  </si>
  <si>
    <t>€/m² a</t>
  </si>
  <si>
    <t>Förderung Tirol</t>
  </si>
  <si>
    <t>Einsparung und WC- und Badlüfter</t>
  </si>
  <si>
    <t>Kosten Brandschutzkontrolle</t>
  </si>
  <si>
    <t>€/Std.</t>
  </si>
  <si>
    <t>Stundensatz Hausbetreuung</t>
  </si>
  <si>
    <t>Std. Funktinskontrolle und Betreuung</t>
  </si>
  <si>
    <t>Std./a</t>
  </si>
  <si>
    <t>%</t>
  </si>
  <si>
    <t>Betriebskosten pro Wohnung und Jahr:</t>
  </si>
  <si>
    <t>Instandhaltungskosten</t>
  </si>
  <si>
    <t>Alles außer Instandhaltungskosten</t>
  </si>
  <si>
    <t>Einsparung Betriebskosten pro m² NF und Jahr:</t>
  </si>
  <si>
    <t>Strompreis pro kWh</t>
  </si>
  <si>
    <t>Wärmepreis pro kWh</t>
  </si>
  <si>
    <t>Studie Thaler (1,2 = Umrechnung auf Nutzfläche)</t>
  </si>
  <si>
    <t>Einsparung Lüften (Zeit)</t>
  </si>
  <si>
    <t>Bessere Vermietbarkeit in 15 Jahren</t>
  </si>
  <si>
    <t>Erhöhter Gebäudewert (Verkauf in 15 Jahren)</t>
  </si>
  <si>
    <t>Nicht eingerechnet:</t>
  </si>
  <si>
    <t>Vorteil Produktivität (z.B. Lernen)</t>
  </si>
  <si>
    <t>ist der Hauptnutznieser</t>
  </si>
  <si>
    <t>Einsparung Betriebskosten pro Wohnung und Jahr:</t>
  </si>
  <si>
    <t>Gemeinnütziger Bauträger</t>
  </si>
  <si>
    <t>Umlegbare Kosten (Gemeinnütziger BT)</t>
  </si>
  <si>
    <t>Nicht umlegbare Kosten (Gemeinnütziger BT)</t>
  </si>
  <si>
    <t>Wechsel durch Bauträger im Rahmen der normalen Gebäudebetreung</t>
  </si>
  <si>
    <t>Kosten Filter</t>
  </si>
  <si>
    <t>Wirkungsgrad der gesamten Ventilatoreinheit</t>
  </si>
  <si>
    <t>Pa</t>
  </si>
  <si>
    <t>W/(m³/h)</t>
  </si>
  <si>
    <t>Externer Druckverlust (Betrieb)</t>
  </si>
  <si>
    <t>Interner Druckverlust (Betrieb)</t>
  </si>
  <si>
    <t>Betriebskosten/Whg pro Jahr</t>
  </si>
  <si>
    <t>Betriebskostenbilanz pro m² und Jahr:</t>
  </si>
  <si>
    <t>Betriebskostenbilanz pro Wohnung und Jahr:</t>
  </si>
  <si>
    <t>Betrachtungszeitraum</t>
  </si>
  <si>
    <t>Jahre</t>
  </si>
  <si>
    <t>Betriebskostenbilanz pro Wohnung und 25 Jahre:</t>
  </si>
  <si>
    <t>Kosten Schimmel</t>
  </si>
  <si>
    <t>Investitionskosten inkl. Förderung</t>
  </si>
  <si>
    <t>Betriebskosten</t>
  </si>
  <si>
    <t>Einsparungen</t>
  </si>
  <si>
    <t>Gesamtkostenbilanz pro Wohnung  und Jahr</t>
  </si>
  <si>
    <t>Gesamtkostenbilanz pro m² und Jahr</t>
  </si>
  <si>
    <t>Gesamtkostenbilanz pro Wohnung  und 25 Jahre</t>
  </si>
  <si>
    <t>Gesamtkostenbilanz pro m² und 25 Jahre</t>
  </si>
  <si>
    <t>Betriebskostenbilanz pro m² und 25 Jahre:</t>
  </si>
  <si>
    <t>Reinigung pro m² umgelegt pro Jahr</t>
  </si>
  <si>
    <t>Reinigung umgelegt pro Jahr</t>
  </si>
  <si>
    <t>€</t>
  </si>
  <si>
    <t>Sonstige Einsparung</t>
  </si>
  <si>
    <t>(Schimmel - Instnadhaltung)ist der Hauptnutzer</t>
  </si>
  <si>
    <t>(laufende Betriebskosten)aber hat den zusätzlichen Komfort, Gesundheit,…</t>
  </si>
  <si>
    <t>Vorteile bei Schallbeästigung von Außen</t>
  </si>
  <si>
    <t>für alle gleich</t>
  </si>
  <si>
    <t>Komfort-Variante</t>
  </si>
  <si>
    <t>Kosten für Raumbedarf des Zentralgerätes</t>
  </si>
  <si>
    <t>Kosten Zentralgerät inkl. Regelung</t>
  </si>
  <si>
    <t>Kosten Steig und Verteilstränge zu den Wohnungen</t>
  </si>
  <si>
    <t>Kosten Luftqualitätsfühler</t>
  </si>
  <si>
    <t>Sonstige Kosten innerhalb der Wohnung (z.B. Trockenbau)</t>
  </si>
  <si>
    <t>Kosten für Kondensatablauf</t>
  </si>
  <si>
    <t>Kosten für Raum im Keller</t>
  </si>
  <si>
    <t>Kosten für Raum innerhalb der warmen Hülle</t>
  </si>
  <si>
    <t>Kosten Außenluftansaugung (bis Zentralgerät)</t>
  </si>
  <si>
    <t>Kosten für Luftleitung  Fortluft (ab Zentralgerät)</t>
  </si>
  <si>
    <t>Kosten Volumenstromregelung inkl. Regelung</t>
  </si>
  <si>
    <t>Kosten Bedieneinheit inkl. el. Installation</t>
  </si>
  <si>
    <t>Kosten Verteilung (inkl. Schalldämpfung, Ventile, etc.) in der Whg.</t>
  </si>
  <si>
    <t>€/Whg.</t>
  </si>
  <si>
    <t>Dachausgang</t>
  </si>
  <si>
    <t>Kosten für Zugänglichkeit Zentralgerät</t>
  </si>
  <si>
    <t>Kosten für Frostschutz oder Nachheizung</t>
  </si>
  <si>
    <t>nur Frostschutz oder Nacherwärmung  - niemals beides!</t>
  </si>
  <si>
    <t>Kosten Brandschutzklappen Hauptstränge</t>
  </si>
  <si>
    <t>Kosten für Zugänglichkeit (Platz) Volumenstromregler</t>
  </si>
  <si>
    <t>Kosten Planung</t>
  </si>
  <si>
    <t>Oder doch in % der Investionskosten?</t>
  </si>
  <si>
    <t>Kosten Baukoordination und Bauaufsicht</t>
  </si>
  <si>
    <t>Kosten Zentraleinheit</t>
  </si>
  <si>
    <t>Einsparungen:</t>
  </si>
  <si>
    <t>Einsparungen pro Wohnungseinheit</t>
  </si>
  <si>
    <t>Förderung:</t>
  </si>
  <si>
    <t>Förderung pro Punkt</t>
  </si>
  <si>
    <t>Fördersatz Tirol pro m²</t>
  </si>
  <si>
    <t>Gesamt inkl. Förderung</t>
  </si>
  <si>
    <t>Gesamt ohne Förderung:</t>
  </si>
  <si>
    <t>Wohnungseinheit:</t>
  </si>
  <si>
    <t>Zentaleinheit:</t>
  </si>
  <si>
    <t>Investitionkosten pro Whg und Jahr  (25 Jahre)</t>
  </si>
  <si>
    <t>Investionskosten pro Whg inkl. Förderung</t>
  </si>
  <si>
    <t>Investionskosten pro m² inkl. Förderung</t>
  </si>
  <si>
    <t>Investitionkosten pro m² und Jahr  (25 Jahre)</t>
  </si>
  <si>
    <t>Spezifischer Strombedarf (Gesamt inkl. Filterverschmutzung)</t>
  </si>
  <si>
    <t>Instanhaltungsprozentsatz der Investitionskosten</t>
  </si>
  <si>
    <t>1/h</t>
  </si>
  <si>
    <t>m³/h</t>
  </si>
  <si>
    <t>Betriebsluftvolumenstrom nach H 6038 (1000 bzw. 1400 ppm)</t>
  </si>
  <si>
    <t>Luftwechsel bei 2,5 m Raumhöhe und 8 Std. Abwesenehitsvolumenstrom + 1 Std. Intensiv</t>
  </si>
  <si>
    <t>Raumhöhe</t>
  </si>
  <si>
    <t>Abwesenheitsvolumenstrom</t>
  </si>
  <si>
    <t>Intensivvolumenstrom</t>
  </si>
  <si>
    <t>%-Satz der Luftmengenanpassung</t>
  </si>
  <si>
    <t>keine Anpassung</t>
  </si>
  <si>
    <t>Luftmenge bei CO Steuerung mit Faktor 75% korrigiert (automatische Anpassung an Teilbelegung)</t>
  </si>
  <si>
    <t xml:space="preserve">Durchschnittliche Nutzfläche pro Wohnung </t>
  </si>
  <si>
    <t>Kosten Zentraleinheit pro Wohnung</t>
  </si>
  <si>
    <t>Kosten Brandschutzeinrichtung Wohnung Fli-VE+KRS</t>
  </si>
  <si>
    <t>Gemittelt für alle Betriebszustände</t>
  </si>
  <si>
    <t>Gesamter Druckverlust</t>
  </si>
  <si>
    <t>0 für Dachgerät</t>
  </si>
  <si>
    <t>0 für ohne Anbindung</t>
  </si>
  <si>
    <t>0 bei Dachzentrale</t>
  </si>
  <si>
    <t>Investitionskosten pro Wohnung und Jahr: (Material + Arbeit)</t>
  </si>
  <si>
    <t>Sonstiges (z.B. zusätzliche Entwässerung Dach aufgrund Luftleitungen,...)</t>
  </si>
  <si>
    <t>Kosten für Platzbedarf Steigstränge</t>
  </si>
  <si>
    <t>Möglichst Dachzentrale  - d.h. € 0,--</t>
  </si>
  <si>
    <t>Einsparung Dunstabzug nach Außen (keine Öffnung bzw. kein Schacht)</t>
  </si>
  <si>
    <t>Einsparungen pro Wohnung</t>
  </si>
  <si>
    <t>Kosten innerhalb der Wohneinheit</t>
  </si>
  <si>
    <t>Kosten innerhalb der Wohnungseinheit pro Whg.</t>
  </si>
  <si>
    <t>Kosten für An- bzw. Einbindung an die allg. Leittechnik</t>
  </si>
  <si>
    <t>Kosten Vernetzung der Volumenstromregler (elektrisch)</t>
  </si>
  <si>
    <t>Investitionskosten Gesamt pro Wohnung</t>
  </si>
  <si>
    <t>Investionskosten Gesamt pro Wohnung (mit Einsparungen)</t>
  </si>
  <si>
    <t>Standard-Variante</t>
  </si>
  <si>
    <t>Low-Tech-Variante</t>
  </si>
  <si>
    <t>0 für Dachzentrale</t>
  </si>
  <si>
    <t>Vorteil Image</t>
  </si>
  <si>
    <t>Zuschlag Druckverlust  Filter (realer Betriebswert)</t>
  </si>
  <si>
    <t>Dachaufstellung ohne Brandschutzklappen möglich, sonst Zentralgeräti ist möglichst  so anzbringen, dass nur 2 Brandschutzklappennotwendig sind</t>
  </si>
  <si>
    <t>Investionskosten Gesamt pro m² (mit Einsparungen)</t>
  </si>
  <si>
    <t>Investitionkosten Gesamt pro m² und Jahr  (25 Jahre mit Einsparungen)</t>
  </si>
  <si>
    <t>(Statisch - ohne Zinsen und Energiepreissteigerungen, Wenn Zinsen und Inflation in etwa gleich sind eine gute Näherung)</t>
  </si>
  <si>
    <t>Betriebskosten pro m2 NF und Jahr:</t>
  </si>
  <si>
    <t>Kosten für Funktionskontrolle und Betreuung</t>
  </si>
  <si>
    <t>Kosten Elektroanschluss  Zentraleinheit (inkl. Netzbereitstellungspreis)</t>
  </si>
  <si>
    <t>Netzbereistellugnspreis ca.  + € 200,-- pro kW</t>
  </si>
  <si>
    <r>
      <t xml:space="preserve">Auslegungsluftmenge  </t>
    </r>
    <r>
      <rPr>
        <sz val="11"/>
        <color rgb="FFFF0000"/>
        <rFont val="Calibri"/>
        <family val="2"/>
        <scheme val="minor"/>
      </rPr>
      <t>bei H 6038 und Komfortvariante grundsätzlich  gleich - realer Luftwechsel aufgrund CO2-Regelung im Schnitt niedriger</t>
    </r>
  </si>
  <si>
    <t>ohne Einrechnugn des unterschieldichen Wirkungsgrades des Ventilators bei Teillast</t>
  </si>
  <si>
    <t>Vorteil Gesundheit (geringere Schadstoffbelstung, besserer Schlaf)</t>
  </si>
  <si>
    <t>Kosten für Reinigung (nach 10 Jahren (Abluft)</t>
  </si>
  <si>
    <t>Durchschnittliche Luftmenge</t>
  </si>
  <si>
    <t>CO2 nur 80%  angesetzt</t>
  </si>
  <si>
    <t>Vorteil Sicherheit (Einbruchsschutz)</t>
  </si>
  <si>
    <t>Lüftung im MFH - Wirtscaftlicher Vergleich der 3 Systeme:</t>
  </si>
  <si>
    <t>Eingabefelder</t>
  </si>
  <si>
    <t>Filtertausch 1x pro Jahr (gemittelt für alle Betriebszustände)</t>
  </si>
  <si>
    <t xml:space="preserve">Förderpunkte </t>
  </si>
  <si>
    <t>Förderung pro m² und Punkt</t>
  </si>
  <si>
    <t>€/m² u. P</t>
  </si>
  <si>
    <t>z.B. Tirol 3 bis 5 Punkte ( bis 3 Punkte aus HWB und 2 Punkte für Komfortlüftung für Gebäude über 300 m²)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</si>
</sst>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0" xfId="0" applyFont="1" applyBorder="1"/>
    <xf numFmtId="0" fontId="2" fillId="0" borderId="22" xfId="0" applyFont="1" applyBorder="1"/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9" xfId="0" applyBorder="1"/>
    <xf numFmtId="0" fontId="3" fillId="0" borderId="7" xfId="0" applyFont="1" applyBorder="1"/>
    <xf numFmtId="0" fontId="0" fillId="0" borderId="7" xfId="0" applyFont="1" applyBorder="1"/>
    <xf numFmtId="0" fontId="0" fillId="0" borderId="35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6" xfId="0" applyFont="1" applyBorder="1"/>
    <xf numFmtId="0" fontId="4" fillId="0" borderId="0" xfId="0" applyFont="1"/>
    <xf numFmtId="0" fontId="5" fillId="0" borderId="0" xfId="0" applyFont="1"/>
    <xf numFmtId="0" fontId="6" fillId="0" borderId="18" xfId="0" applyFont="1" applyBorder="1"/>
    <xf numFmtId="0" fontId="6" fillId="0" borderId="19" xfId="0" applyFont="1" applyBorder="1"/>
    <xf numFmtId="0" fontId="6" fillId="0" borderId="18" xfId="0" applyFont="1" applyBorder="1" applyAlignment="1">
      <alignment horizontal="center"/>
    </xf>
    <xf numFmtId="2" fontId="6" fillId="0" borderId="38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40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2" fontId="6" fillId="0" borderId="20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0" fillId="0" borderId="4" xfId="0" applyBorder="1"/>
    <xf numFmtId="0" fontId="0" fillId="0" borderId="8" xfId="0" applyFill="1" applyBorder="1"/>
    <xf numFmtId="0" fontId="0" fillId="0" borderId="9" xfId="0" applyBorder="1"/>
    <xf numFmtId="0" fontId="0" fillId="0" borderId="41" xfId="0" applyBorder="1" applyAlignment="1">
      <alignment horizontal="center"/>
    </xf>
    <xf numFmtId="0" fontId="2" fillId="0" borderId="27" xfId="0" applyFont="1" applyBorder="1"/>
    <xf numFmtId="0" fontId="2" fillId="0" borderId="29" xfId="0" applyFont="1" applyBorder="1"/>
    <xf numFmtId="0" fontId="2" fillId="0" borderId="14" xfId="0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42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0" fontId="0" fillId="0" borderId="46" xfId="0" applyBorder="1"/>
    <xf numFmtId="0" fontId="0" fillId="0" borderId="45" xfId="0" applyFont="1" applyBorder="1"/>
    <xf numFmtId="0" fontId="3" fillId="0" borderId="47" xfId="0" applyFont="1" applyBorder="1"/>
    <xf numFmtId="0" fontId="3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6" xfId="0" applyFill="1" applyBorder="1"/>
    <xf numFmtId="0" fontId="0" fillId="0" borderId="45" xfId="0" applyFill="1" applyBorder="1"/>
    <xf numFmtId="0" fontId="7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2" fontId="7" fillId="0" borderId="6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43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8" fillId="0" borderId="20" xfId="0" applyFont="1" applyBorder="1"/>
    <xf numFmtId="0" fontId="8" fillId="0" borderId="22" xfId="0" applyFont="1" applyBorder="1"/>
    <xf numFmtId="0" fontId="8" fillId="0" borderId="2" xfId="0" applyFon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42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8" fillId="0" borderId="5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27" xfId="0" applyFont="1" applyBorder="1"/>
    <xf numFmtId="0" fontId="8" fillId="0" borderId="29" xfId="0" applyFont="1" applyBorder="1"/>
    <xf numFmtId="0" fontId="8" fillId="0" borderId="52" xfId="0" applyFont="1" applyBorder="1" applyAlignment="1">
      <alignment horizontal="center"/>
    </xf>
    <xf numFmtId="1" fontId="0" fillId="0" borderId="53" xfId="0" applyNumberFormat="1" applyBorder="1" applyAlignment="1">
      <alignment horizontal="center"/>
    </xf>
    <xf numFmtId="1" fontId="8" fillId="0" borderId="27" xfId="0" applyNumberFormat="1" applyFont="1" applyBorder="1" applyAlignment="1">
      <alignment horizontal="center"/>
    </xf>
    <xf numFmtId="1" fontId="8" fillId="0" borderId="42" xfId="0" applyNumberFormat="1" applyFont="1" applyBorder="1" applyAlignment="1">
      <alignment horizontal="center"/>
    </xf>
    <xf numFmtId="1" fontId="8" fillId="0" borderId="29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2" fontId="8" fillId="0" borderId="36" xfId="0" applyNumberFormat="1" applyFont="1" applyBorder="1" applyAlignment="1">
      <alignment horizontal="center"/>
    </xf>
    <xf numFmtId="0" fontId="8" fillId="0" borderId="54" xfId="0" applyFont="1" applyBorder="1"/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3" xfId="0" applyFill="1" applyBorder="1"/>
    <xf numFmtId="0" fontId="0" fillId="0" borderId="55" xfId="0" applyBorder="1"/>
    <xf numFmtId="0" fontId="0" fillId="0" borderId="56" xfId="0" applyBorder="1"/>
    <xf numFmtId="0" fontId="0" fillId="0" borderId="37" xfId="0" applyBorder="1" applyAlignment="1">
      <alignment horizontal="center"/>
    </xf>
    <xf numFmtId="0" fontId="0" fillId="0" borderId="57" xfId="0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8" fillId="0" borderId="20" xfId="0" applyNumberFormat="1" applyFont="1" applyBorder="1" applyAlignment="1">
      <alignment horizontal="center"/>
    </xf>
    <xf numFmtId="1" fontId="8" fillId="0" borderId="58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2" fontId="0" fillId="0" borderId="1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3" fillId="0" borderId="27" xfId="0" applyFont="1" applyBorder="1"/>
    <xf numFmtId="1" fontId="0" fillId="0" borderId="59" xfId="0" applyNumberFormat="1" applyFill="1" applyBorder="1" applyAlignment="1">
      <alignment horizontal="center"/>
    </xf>
    <xf numFmtId="1" fontId="0" fillId="0" borderId="60" xfId="0" applyNumberFormat="1" applyFill="1" applyBorder="1" applyAlignment="1">
      <alignment horizontal="center"/>
    </xf>
    <xf numFmtId="1" fontId="0" fillId="2" borderId="55" xfId="0" applyNumberForma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52" xfId="0" applyNumberFormat="1" applyFont="1" applyBorder="1" applyAlignment="1">
      <alignment horizontal="center"/>
    </xf>
    <xf numFmtId="2" fontId="2" fillId="0" borderId="52" xfId="0" applyNumberFormat="1" applyFont="1" applyBorder="1" applyAlignment="1">
      <alignment horizontal="center"/>
    </xf>
    <xf numFmtId="0" fontId="0" fillId="2" borderId="30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1" fontId="0" fillId="0" borderId="27" xfId="0" applyNumberFormat="1" applyFill="1" applyBorder="1" applyAlignment="1" applyProtection="1">
      <alignment horizontal="center"/>
      <protection locked="0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center"/>
    </xf>
    <xf numFmtId="0" fontId="7" fillId="0" borderId="30" xfId="0" applyFont="1" applyBorder="1"/>
    <xf numFmtId="0" fontId="7" fillId="0" borderId="17" xfId="0" applyFont="1" applyBorder="1"/>
    <xf numFmtId="0" fontId="7" fillId="0" borderId="33" xfId="0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9" fontId="7" fillId="0" borderId="16" xfId="0" applyNumberFormat="1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10" fillId="0" borderId="17" xfId="0" applyFont="1" applyBorder="1"/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64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65" xfId="0" applyBorder="1" applyAlignment="1">
      <alignment horizontal="center"/>
    </xf>
    <xf numFmtId="0" fontId="0" fillId="2" borderId="66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0" fontId="9" fillId="0" borderId="20" xfId="0" applyFont="1" applyBorder="1"/>
    <xf numFmtId="0" fontId="9" fillId="0" borderId="22" xfId="0" applyFont="1" applyBorder="1"/>
    <xf numFmtId="0" fontId="9" fillId="0" borderId="19" xfId="0" applyFont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9" fillId="0" borderId="52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7" fillId="0" borderId="45" xfId="0" applyFont="1" applyBorder="1"/>
    <xf numFmtId="0" fontId="7" fillId="0" borderId="47" xfId="0" applyFont="1" applyBorder="1"/>
    <xf numFmtId="0" fontId="7" fillId="0" borderId="44" xfId="0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2" fontId="7" fillId="0" borderId="47" xfId="0" applyNumberFormat="1" applyFon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1" fontId="0" fillId="0" borderId="36" xfId="0" applyNumberFormat="1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5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5" fontId="0" fillId="0" borderId="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0" borderId="46" xfId="0" applyNumberFormat="1" applyFill="1" applyBorder="1" applyAlignment="1">
      <alignment horizontal="center"/>
    </xf>
    <xf numFmtId="1" fontId="0" fillId="0" borderId="47" xfId="0" applyNumberFormat="1" applyFill="1" applyBorder="1" applyAlignment="1">
      <alignment horizontal="center"/>
    </xf>
    <xf numFmtId="1" fontId="0" fillId="2" borderId="22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1227257</xdr:colOff>
      <xdr:row>1</xdr:row>
      <xdr:rowOff>9525</xdr:rowOff>
    </xdr:to>
    <xdr:pic>
      <xdr:nvPicPr>
        <xdr:cNvPr id="2" name="Picture 25" descr="kopf_n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152182" cy="2457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2"/>
  <sheetViews>
    <sheetView tabSelected="1" workbookViewId="0">
      <selection activeCell="F146" sqref="F146"/>
    </sheetView>
  </sheetViews>
  <sheetFormatPr baseColWidth="10" defaultRowHeight="15" x14ac:dyDescent="0.25"/>
  <cols>
    <col min="1" max="1" width="23.28515625" customWidth="1"/>
    <col min="2" max="2" width="5" customWidth="1"/>
    <col min="3" max="3" width="59.85546875" customWidth="1"/>
    <col min="4" max="4" width="11.42578125" style="9"/>
    <col min="5" max="5" width="16.85546875" customWidth="1"/>
    <col min="6" max="6" width="17.42578125" customWidth="1"/>
    <col min="7" max="7" width="18.5703125" customWidth="1"/>
  </cols>
  <sheetData>
    <row r="1" spans="1:7" ht="192.75" customHeight="1" x14ac:dyDescent="0.25"/>
    <row r="2" spans="1:7" ht="21" x14ac:dyDescent="0.35">
      <c r="A2" s="55" t="s">
        <v>180</v>
      </c>
    </row>
    <row r="3" spans="1:7" ht="21" x14ac:dyDescent="0.35">
      <c r="A3" s="55"/>
      <c r="B3" t="s">
        <v>168</v>
      </c>
    </row>
    <row r="4" spans="1:7" ht="21.75" thickBot="1" x14ac:dyDescent="0.4">
      <c r="A4" s="55"/>
      <c r="E4" s="9" t="s">
        <v>89</v>
      </c>
    </row>
    <row r="5" spans="1:7" ht="15.75" thickBot="1" x14ac:dyDescent="0.3">
      <c r="B5" s="2" t="s">
        <v>6</v>
      </c>
      <c r="C5" s="68"/>
      <c r="D5" s="199" t="s">
        <v>16</v>
      </c>
      <c r="E5" s="202">
        <v>16</v>
      </c>
      <c r="G5" s="246" t="s">
        <v>181</v>
      </c>
    </row>
    <row r="6" spans="1:7" x14ac:dyDescent="0.25">
      <c r="B6" s="4" t="s">
        <v>140</v>
      </c>
      <c r="C6" s="1"/>
      <c r="D6" s="200" t="s">
        <v>17</v>
      </c>
      <c r="E6" s="203">
        <v>76</v>
      </c>
    </row>
    <row r="7" spans="1:7" x14ac:dyDescent="0.25">
      <c r="B7" s="4" t="s">
        <v>134</v>
      </c>
      <c r="C7" s="1"/>
      <c r="D7" s="200" t="s">
        <v>17</v>
      </c>
      <c r="E7" s="203">
        <v>2.5</v>
      </c>
    </row>
    <row r="8" spans="1:7" x14ac:dyDescent="0.25">
      <c r="B8" s="4" t="s">
        <v>184</v>
      </c>
      <c r="C8" s="1"/>
      <c r="D8" s="200" t="s">
        <v>185</v>
      </c>
      <c r="E8" s="203">
        <v>8</v>
      </c>
    </row>
    <row r="9" spans="1:7" x14ac:dyDescent="0.25">
      <c r="B9" s="4" t="s">
        <v>70</v>
      </c>
      <c r="C9" s="1"/>
      <c r="D9" s="200" t="s">
        <v>71</v>
      </c>
      <c r="E9" s="203">
        <v>25</v>
      </c>
    </row>
    <row r="10" spans="1:7" x14ac:dyDescent="0.25">
      <c r="B10" s="4" t="s">
        <v>37</v>
      </c>
      <c r="C10" s="1"/>
      <c r="D10" s="200" t="s">
        <v>14</v>
      </c>
      <c r="E10" s="203">
        <v>0</v>
      </c>
      <c r="F10" t="s">
        <v>162</v>
      </c>
    </row>
    <row r="11" spans="1:7" x14ac:dyDescent="0.25">
      <c r="B11" s="91" t="s">
        <v>61</v>
      </c>
      <c r="C11" s="1"/>
      <c r="D11" s="200" t="s">
        <v>14</v>
      </c>
      <c r="E11" s="203">
        <v>200</v>
      </c>
    </row>
    <row r="12" spans="1:7" x14ac:dyDescent="0.25">
      <c r="B12" s="91" t="s">
        <v>39</v>
      </c>
      <c r="C12" s="1"/>
      <c r="D12" s="200" t="s">
        <v>38</v>
      </c>
      <c r="E12" s="203">
        <v>40</v>
      </c>
    </row>
    <row r="13" spans="1:7" x14ac:dyDescent="0.25">
      <c r="B13" s="92" t="s">
        <v>73</v>
      </c>
      <c r="C13" s="84"/>
      <c r="D13" s="205" t="s">
        <v>34</v>
      </c>
      <c r="E13" s="206">
        <v>1.4</v>
      </c>
    </row>
    <row r="14" spans="1:7" x14ac:dyDescent="0.25">
      <c r="B14" s="92" t="s">
        <v>97</v>
      </c>
      <c r="C14" s="84"/>
      <c r="D14" s="205" t="s">
        <v>15</v>
      </c>
      <c r="E14" s="206">
        <v>2000</v>
      </c>
    </row>
    <row r="15" spans="1:7" x14ac:dyDescent="0.25">
      <c r="B15" s="92" t="s">
        <v>98</v>
      </c>
      <c r="C15" s="84"/>
      <c r="D15" s="205" t="s">
        <v>15</v>
      </c>
      <c r="E15" s="206">
        <v>3000</v>
      </c>
    </row>
    <row r="16" spans="1:7" x14ac:dyDescent="0.25">
      <c r="B16" s="92" t="s">
        <v>48</v>
      </c>
      <c r="C16" s="84"/>
      <c r="D16" s="205" t="s">
        <v>11</v>
      </c>
      <c r="E16" s="206">
        <v>0.09</v>
      </c>
    </row>
    <row r="17" spans="1:8" ht="15.75" thickBot="1" x14ac:dyDescent="0.3">
      <c r="B17" s="69" t="s">
        <v>47</v>
      </c>
      <c r="C17" s="70"/>
      <c r="D17" s="201" t="s">
        <v>11</v>
      </c>
      <c r="E17" s="204">
        <v>0.17</v>
      </c>
    </row>
    <row r="18" spans="1:8" ht="18" customHeight="1" thickBot="1" x14ac:dyDescent="0.3">
      <c r="B18" s="137"/>
      <c r="C18" s="138"/>
      <c r="D18"/>
      <c r="E18" s="21" t="s">
        <v>161</v>
      </c>
      <c r="F18" s="21" t="s">
        <v>160</v>
      </c>
      <c r="G18" s="21" t="s">
        <v>90</v>
      </c>
    </row>
    <row r="19" spans="1:8" x14ac:dyDescent="0.25">
      <c r="B19" s="139" t="s">
        <v>62</v>
      </c>
      <c r="C19" s="68"/>
      <c r="D19" s="199" t="s">
        <v>42</v>
      </c>
      <c r="E19" s="237">
        <v>60</v>
      </c>
      <c r="F19" s="242">
        <v>60</v>
      </c>
      <c r="G19" s="155">
        <v>60</v>
      </c>
      <c r="H19" t="s">
        <v>143</v>
      </c>
    </row>
    <row r="20" spans="1:8" x14ac:dyDescent="0.25">
      <c r="B20" s="91" t="s">
        <v>65</v>
      </c>
      <c r="C20" s="1"/>
      <c r="D20" s="200" t="s">
        <v>63</v>
      </c>
      <c r="E20" s="238">
        <v>190</v>
      </c>
      <c r="F20" s="236">
        <v>190</v>
      </c>
      <c r="G20" s="159">
        <v>120</v>
      </c>
      <c r="H20" t="s">
        <v>143</v>
      </c>
    </row>
    <row r="21" spans="1:8" x14ac:dyDescent="0.25">
      <c r="B21" s="91" t="s">
        <v>66</v>
      </c>
      <c r="C21" s="1"/>
      <c r="D21" s="200" t="s">
        <v>63</v>
      </c>
      <c r="E21" s="238">
        <v>250</v>
      </c>
      <c r="F21" s="207">
        <f>+E21*$F$85/$F$80*$F$85/$F$80</f>
        <v>210.06944444444449</v>
      </c>
      <c r="G21" s="239">
        <f>+E21*$G$85/$G$80*$G$85/$G$80</f>
        <v>166.73611111111114</v>
      </c>
      <c r="H21" t="s">
        <v>143</v>
      </c>
    </row>
    <row r="22" spans="1:8" ht="15.75" thickBot="1" x14ac:dyDescent="0.3">
      <c r="B22" s="69" t="s">
        <v>164</v>
      </c>
      <c r="C22" s="70"/>
      <c r="D22" s="201" t="s">
        <v>63</v>
      </c>
      <c r="E22" s="240">
        <v>50</v>
      </c>
      <c r="F22" s="247">
        <f>+E22*$F$85/$F$80*$F$85/$F$80</f>
        <v>42.013888888888893</v>
      </c>
      <c r="G22" s="248">
        <f>+E22*$G$85/$G$80*$G$85/$G$80</f>
        <v>33.347222222222229</v>
      </c>
      <c r="H22" t="s">
        <v>182</v>
      </c>
    </row>
    <row r="23" spans="1:8" ht="15.75" thickBot="1" x14ac:dyDescent="0.3">
      <c r="B23" s="69" t="s">
        <v>144</v>
      </c>
      <c r="C23" s="70"/>
      <c r="D23" s="201" t="s">
        <v>63</v>
      </c>
      <c r="E23" s="241">
        <f>+E22+E20+E21</f>
        <v>490</v>
      </c>
      <c r="F23" s="246">
        <f>+F22+F20+F21</f>
        <v>442.08333333333337</v>
      </c>
      <c r="G23" s="249">
        <f>+G22+G20+G21</f>
        <v>320.08333333333337</v>
      </c>
      <c r="H23" t="s">
        <v>143</v>
      </c>
    </row>
    <row r="25" spans="1:8" ht="19.5" thickBot="1" x14ac:dyDescent="0.35">
      <c r="A25" s="56" t="s">
        <v>148</v>
      </c>
      <c r="E25" s="21" t="s">
        <v>161</v>
      </c>
      <c r="F25" s="21" t="s">
        <v>160</v>
      </c>
      <c r="G25" s="21" t="s">
        <v>90</v>
      </c>
    </row>
    <row r="26" spans="1:8" x14ac:dyDescent="0.25">
      <c r="A26" s="184" t="s">
        <v>123</v>
      </c>
      <c r="B26" s="2" t="s">
        <v>111</v>
      </c>
      <c r="C26" s="3"/>
      <c r="D26" s="16" t="s">
        <v>84</v>
      </c>
      <c r="E26" s="228">
        <v>5000</v>
      </c>
      <c r="F26" s="229">
        <f>+E26</f>
        <v>5000</v>
      </c>
      <c r="G26" s="230">
        <f>+E26</f>
        <v>5000</v>
      </c>
      <c r="H26" t="s">
        <v>112</v>
      </c>
    </row>
    <row r="27" spans="1:8" x14ac:dyDescent="0.25">
      <c r="B27" s="34" t="s">
        <v>113</v>
      </c>
      <c r="C27" s="8"/>
      <c r="D27" s="71" t="s">
        <v>84</v>
      </c>
      <c r="E27" s="153">
        <v>2000</v>
      </c>
      <c r="F27" s="82">
        <f t="shared" ref="F27:F35" si="0">+E27</f>
        <v>2000</v>
      </c>
      <c r="G27" s="83">
        <f t="shared" ref="G27:G28" si="1">+E27</f>
        <v>2000</v>
      </c>
    </row>
    <row r="28" spans="1:8" x14ac:dyDescent="0.25">
      <c r="B28" s="34" t="s">
        <v>99</v>
      </c>
      <c r="C28" s="8"/>
      <c r="D28" s="71" t="s">
        <v>84</v>
      </c>
      <c r="E28" s="183">
        <v>0</v>
      </c>
      <c r="F28" s="82">
        <f t="shared" si="0"/>
        <v>0</v>
      </c>
      <c r="G28" s="83">
        <f t="shared" si="1"/>
        <v>0</v>
      </c>
      <c r="H28" t="s">
        <v>145</v>
      </c>
    </row>
    <row r="29" spans="1:8" x14ac:dyDescent="0.25">
      <c r="B29" s="34" t="s">
        <v>92</v>
      </c>
      <c r="C29" s="8"/>
      <c r="D29" s="71" t="s">
        <v>84</v>
      </c>
      <c r="E29" s="156">
        <v>12000</v>
      </c>
      <c r="F29" s="157">
        <v>12000</v>
      </c>
      <c r="G29" s="158">
        <v>12000</v>
      </c>
      <c r="H29" t="s">
        <v>22</v>
      </c>
    </row>
    <row r="30" spans="1:8" x14ac:dyDescent="0.25">
      <c r="B30" s="34" t="s">
        <v>171</v>
      </c>
      <c r="C30" s="8"/>
      <c r="D30" s="71" t="s">
        <v>84</v>
      </c>
      <c r="E30" s="156">
        <v>900</v>
      </c>
      <c r="F30" s="207">
        <f t="shared" ref="F30" si="2">+E30</f>
        <v>900</v>
      </c>
      <c r="G30" s="83">
        <f t="shared" ref="G30" si="3">+E30</f>
        <v>900</v>
      </c>
      <c r="H30" t="s">
        <v>172</v>
      </c>
    </row>
    <row r="31" spans="1:8" x14ac:dyDescent="0.25">
      <c r="B31" s="34" t="s">
        <v>156</v>
      </c>
      <c r="C31" s="8"/>
      <c r="D31" s="71" t="s">
        <v>84</v>
      </c>
      <c r="E31" s="156">
        <v>0</v>
      </c>
      <c r="F31" s="157">
        <v>0</v>
      </c>
      <c r="G31" s="158">
        <v>0</v>
      </c>
      <c r="H31" t="s">
        <v>146</v>
      </c>
    </row>
    <row r="32" spans="1:8" x14ac:dyDescent="0.25">
      <c r="B32" s="34" t="s">
        <v>91</v>
      </c>
      <c r="C32" s="8"/>
      <c r="D32" s="71" t="s">
        <v>84</v>
      </c>
      <c r="E32" s="153">
        <v>0</v>
      </c>
      <c r="F32" s="82">
        <f t="shared" si="0"/>
        <v>0</v>
      </c>
      <c r="G32" s="83">
        <f t="shared" ref="G32:G35" si="4">+E32</f>
        <v>0</v>
      </c>
      <c r="H32" t="s">
        <v>147</v>
      </c>
    </row>
    <row r="33" spans="1:10" x14ac:dyDescent="0.25">
      <c r="B33" s="34" t="s">
        <v>106</v>
      </c>
      <c r="C33" s="8"/>
      <c r="D33" s="71" t="s">
        <v>84</v>
      </c>
      <c r="E33" s="153">
        <v>0</v>
      </c>
      <c r="F33" s="82">
        <f t="shared" si="0"/>
        <v>0</v>
      </c>
      <c r="G33" s="83">
        <f t="shared" ref="G33" si="5">+E33</f>
        <v>0</v>
      </c>
      <c r="H33" t="s">
        <v>105</v>
      </c>
    </row>
    <row r="34" spans="1:10" x14ac:dyDescent="0.25">
      <c r="B34" s="34" t="s">
        <v>107</v>
      </c>
      <c r="C34" s="8"/>
      <c r="D34" s="71" t="s">
        <v>84</v>
      </c>
      <c r="E34" s="153">
        <v>0</v>
      </c>
      <c r="F34" s="82">
        <f t="shared" si="0"/>
        <v>0</v>
      </c>
      <c r="G34" s="83">
        <f t="shared" si="4"/>
        <v>0</v>
      </c>
      <c r="H34" t="s">
        <v>108</v>
      </c>
    </row>
    <row r="35" spans="1:10" x14ac:dyDescent="0.25">
      <c r="B35" s="34" t="s">
        <v>96</v>
      </c>
      <c r="C35" s="8"/>
      <c r="D35" s="71" t="s">
        <v>84</v>
      </c>
      <c r="E35" s="153">
        <v>100</v>
      </c>
      <c r="F35" s="82">
        <f t="shared" si="0"/>
        <v>100</v>
      </c>
      <c r="G35" s="83">
        <f t="shared" si="4"/>
        <v>100</v>
      </c>
      <c r="J35" s="138"/>
    </row>
    <row r="36" spans="1:10" x14ac:dyDescent="0.25">
      <c r="B36" s="34" t="s">
        <v>109</v>
      </c>
      <c r="C36" s="8"/>
      <c r="D36" s="71" t="s">
        <v>84</v>
      </c>
      <c r="E36" s="153">
        <v>0</v>
      </c>
      <c r="F36" s="82">
        <f>+E36</f>
        <v>0</v>
      </c>
      <c r="G36" s="83">
        <f>+E36</f>
        <v>0</v>
      </c>
      <c r="H36" t="s">
        <v>165</v>
      </c>
    </row>
    <row r="37" spans="1:10" x14ac:dyDescent="0.25">
      <c r="B37" s="34" t="s">
        <v>93</v>
      </c>
      <c r="C37" s="8"/>
      <c r="D37" s="71" t="s">
        <v>84</v>
      </c>
      <c r="E37" s="153">
        <v>4000</v>
      </c>
      <c r="F37" s="82">
        <f t="shared" ref="F37:F38" si="6">+E37</f>
        <v>4000</v>
      </c>
      <c r="G37" s="83">
        <f t="shared" ref="G37:G38" si="7">+E37</f>
        <v>4000</v>
      </c>
    </row>
    <row r="38" spans="1:10" x14ac:dyDescent="0.25">
      <c r="B38" s="34" t="s">
        <v>150</v>
      </c>
      <c r="C38" s="8"/>
      <c r="D38" s="71" t="s">
        <v>84</v>
      </c>
      <c r="E38" s="153">
        <v>6000</v>
      </c>
      <c r="F38" s="82">
        <f t="shared" si="6"/>
        <v>6000</v>
      </c>
      <c r="G38" s="83">
        <f t="shared" si="7"/>
        <v>6000</v>
      </c>
    </row>
    <row r="39" spans="1:10" x14ac:dyDescent="0.25">
      <c r="B39" s="34" t="s">
        <v>100</v>
      </c>
      <c r="C39" s="8"/>
      <c r="D39" s="71" t="s">
        <v>84</v>
      </c>
      <c r="E39" s="153">
        <v>0</v>
      </c>
      <c r="F39" s="82">
        <f t="shared" ref="F39:F50" si="8">+E39</f>
        <v>0</v>
      </c>
      <c r="G39" s="83">
        <f t="shared" ref="G39:G50" si="9">+E39</f>
        <v>0</v>
      </c>
      <c r="H39" t="s">
        <v>151</v>
      </c>
    </row>
    <row r="40" spans="1:10" ht="15.75" thickBot="1" x14ac:dyDescent="0.3">
      <c r="B40" s="34" t="s">
        <v>149</v>
      </c>
      <c r="C40" s="198"/>
      <c r="D40" s="71" t="s">
        <v>84</v>
      </c>
      <c r="E40" s="154">
        <v>0</v>
      </c>
      <c r="F40" s="231">
        <f t="shared" ref="F40" si="10">+E40</f>
        <v>0</v>
      </c>
      <c r="G40" s="232">
        <f t="shared" ref="G40" si="11">+E40</f>
        <v>0</v>
      </c>
    </row>
    <row r="41" spans="1:10" ht="15.75" thickBot="1" x14ac:dyDescent="0.3">
      <c r="B41" s="18" t="s">
        <v>114</v>
      </c>
      <c r="C41" s="19"/>
      <c r="D41" s="178" t="s">
        <v>84</v>
      </c>
      <c r="E41" s="179">
        <f>SUM(E26:E40)</f>
        <v>30000</v>
      </c>
      <c r="F41" s="179">
        <f>SUM(F26:F40)</f>
        <v>30000</v>
      </c>
      <c r="G41" s="180">
        <f>SUM(G26:G40)</f>
        <v>30000</v>
      </c>
    </row>
    <row r="42" spans="1:10" ht="15.75" thickBot="1" x14ac:dyDescent="0.3">
      <c r="B42" s="18" t="s">
        <v>141</v>
      </c>
      <c r="C42" s="19"/>
      <c r="D42" s="178" t="s">
        <v>84</v>
      </c>
      <c r="E42" s="179">
        <f>+E41/$E$5</f>
        <v>1875</v>
      </c>
      <c r="F42" s="179">
        <f t="shared" ref="F42:G42" si="12">+F41/$E$5</f>
        <v>1875</v>
      </c>
      <c r="G42" s="180">
        <f t="shared" si="12"/>
        <v>1875</v>
      </c>
    </row>
    <row r="43" spans="1:10" x14ac:dyDescent="0.25">
      <c r="A43" s="184" t="s">
        <v>122</v>
      </c>
      <c r="B43" s="34" t="s">
        <v>142</v>
      </c>
      <c r="C43" s="8"/>
      <c r="D43" s="71" t="s">
        <v>104</v>
      </c>
      <c r="E43" s="153">
        <v>300</v>
      </c>
      <c r="F43" s="82">
        <f t="shared" si="8"/>
        <v>300</v>
      </c>
      <c r="G43" s="83">
        <f t="shared" si="9"/>
        <v>300</v>
      </c>
    </row>
    <row r="44" spans="1:10" x14ac:dyDescent="0.25">
      <c r="B44" s="34" t="s">
        <v>101</v>
      </c>
      <c r="C44" s="8"/>
      <c r="D44" s="71" t="s">
        <v>104</v>
      </c>
      <c r="E44" s="156">
        <v>100</v>
      </c>
      <c r="F44" s="157">
        <v>400</v>
      </c>
      <c r="G44" s="158">
        <v>700</v>
      </c>
    </row>
    <row r="45" spans="1:10" x14ac:dyDescent="0.25">
      <c r="B45" s="34" t="s">
        <v>157</v>
      </c>
      <c r="C45" s="8"/>
      <c r="D45" s="71" t="s">
        <v>104</v>
      </c>
      <c r="E45" s="156">
        <v>0</v>
      </c>
      <c r="F45" s="157">
        <v>0</v>
      </c>
      <c r="G45" s="158">
        <v>100</v>
      </c>
    </row>
    <row r="46" spans="1:10" x14ac:dyDescent="0.25">
      <c r="B46" s="34" t="s">
        <v>94</v>
      </c>
      <c r="C46" s="8"/>
      <c r="D46" s="71" t="s">
        <v>104</v>
      </c>
      <c r="E46" s="156">
        <v>0</v>
      </c>
      <c r="F46" s="157">
        <v>0</v>
      </c>
      <c r="G46" s="158">
        <v>200</v>
      </c>
    </row>
    <row r="47" spans="1:10" x14ac:dyDescent="0.25">
      <c r="B47" s="34" t="s">
        <v>110</v>
      </c>
      <c r="C47" s="8"/>
      <c r="D47" s="71" t="s">
        <v>104</v>
      </c>
      <c r="E47" s="153">
        <v>0</v>
      </c>
      <c r="F47" s="82">
        <f t="shared" si="8"/>
        <v>0</v>
      </c>
      <c r="G47" s="83">
        <f t="shared" si="9"/>
        <v>0</v>
      </c>
    </row>
    <row r="48" spans="1:10" x14ac:dyDescent="0.25">
      <c r="B48" s="34" t="s">
        <v>102</v>
      </c>
      <c r="C48" s="8"/>
      <c r="D48" s="71" t="s">
        <v>104</v>
      </c>
      <c r="E48" s="156">
        <v>0</v>
      </c>
      <c r="F48" s="157">
        <v>150</v>
      </c>
      <c r="G48" s="158">
        <v>150</v>
      </c>
    </row>
    <row r="49" spans="1:7" x14ac:dyDescent="0.25">
      <c r="B49" s="34" t="s">
        <v>103</v>
      </c>
      <c r="C49" s="8"/>
      <c r="D49" s="71" t="s">
        <v>104</v>
      </c>
      <c r="E49" s="153">
        <v>800</v>
      </c>
      <c r="F49" s="82">
        <f t="shared" si="8"/>
        <v>800</v>
      </c>
      <c r="G49" s="83">
        <f t="shared" si="9"/>
        <v>800</v>
      </c>
    </row>
    <row r="50" spans="1:7" ht="15.75" thickBot="1" x14ac:dyDescent="0.3">
      <c r="B50" s="140" t="s">
        <v>95</v>
      </c>
      <c r="C50" s="141"/>
      <c r="D50" s="177" t="s">
        <v>104</v>
      </c>
      <c r="E50" s="176">
        <v>300</v>
      </c>
      <c r="F50" s="174">
        <f t="shared" si="8"/>
        <v>300</v>
      </c>
      <c r="G50" s="175">
        <f t="shared" si="9"/>
        <v>300</v>
      </c>
    </row>
    <row r="51" spans="1:7" ht="15.75" thickBot="1" x14ac:dyDescent="0.3">
      <c r="B51" s="18" t="s">
        <v>155</v>
      </c>
      <c r="C51" s="19"/>
      <c r="D51" s="178" t="s">
        <v>8</v>
      </c>
      <c r="E51" s="179">
        <f>SUM(E43:E50)</f>
        <v>1500</v>
      </c>
      <c r="F51" s="179">
        <f>SUM(F43:F50)</f>
        <v>1950</v>
      </c>
      <c r="G51" s="180">
        <f>SUM(G43:G50)</f>
        <v>2550</v>
      </c>
    </row>
    <row r="52" spans="1:7" x14ac:dyDescent="0.25">
      <c r="A52" s="184" t="s">
        <v>115</v>
      </c>
      <c r="B52" s="34" t="s">
        <v>36</v>
      </c>
      <c r="C52" s="8"/>
      <c r="D52" s="35" t="s">
        <v>8</v>
      </c>
      <c r="E52" s="153">
        <v>400</v>
      </c>
      <c r="F52" s="82">
        <f>+E52</f>
        <v>400</v>
      </c>
      <c r="G52" s="83">
        <f>+E52</f>
        <v>400</v>
      </c>
    </row>
    <row r="53" spans="1:7" x14ac:dyDescent="0.25">
      <c r="B53" s="34" t="s">
        <v>152</v>
      </c>
      <c r="C53" s="8"/>
      <c r="D53" s="35" t="s">
        <v>8</v>
      </c>
      <c r="E53" s="153">
        <v>100</v>
      </c>
      <c r="F53" s="82">
        <f t="shared" ref="F53:F55" si="13">+E53</f>
        <v>100</v>
      </c>
      <c r="G53" s="83">
        <f t="shared" ref="G53:G55" si="14">+E53</f>
        <v>100</v>
      </c>
    </row>
    <row r="54" spans="1:7" x14ac:dyDescent="0.25">
      <c r="B54" s="34" t="s">
        <v>30</v>
      </c>
      <c r="C54" s="8"/>
      <c r="D54" s="35" t="s">
        <v>8</v>
      </c>
      <c r="E54" s="153">
        <v>50</v>
      </c>
      <c r="F54" s="82">
        <f t="shared" si="13"/>
        <v>50</v>
      </c>
      <c r="G54" s="83">
        <f t="shared" si="14"/>
        <v>50</v>
      </c>
    </row>
    <row r="55" spans="1:7" ht="15.75" thickBot="1" x14ac:dyDescent="0.3">
      <c r="B55" s="173" t="s">
        <v>85</v>
      </c>
      <c r="C55" s="47"/>
      <c r="D55" s="10" t="s">
        <v>8</v>
      </c>
      <c r="E55" s="154">
        <v>0</v>
      </c>
      <c r="F55" s="82">
        <f t="shared" si="13"/>
        <v>0</v>
      </c>
      <c r="G55" s="83">
        <f t="shared" si="14"/>
        <v>0</v>
      </c>
    </row>
    <row r="56" spans="1:7" ht="15.75" thickBot="1" x14ac:dyDescent="0.3">
      <c r="A56" s="184"/>
      <c r="B56" s="18" t="s">
        <v>116</v>
      </c>
      <c r="C56" s="19"/>
      <c r="D56" s="178" t="s">
        <v>8</v>
      </c>
      <c r="E56" s="179">
        <f>SUM(E52:E55)</f>
        <v>550</v>
      </c>
      <c r="F56" s="179">
        <f t="shared" ref="F56:G56" si="15">SUM(F52:F55)</f>
        <v>550</v>
      </c>
      <c r="G56" s="180">
        <f t="shared" si="15"/>
        <v>550</v>
      </c>
    </row>
    <row r="57" spans="1:7" ht="4.5" customHeight="1" thickBot="1" x14ac:dyDescent="0.3">
      <c r="E57" s="21" t="s">
        <v>161</v>
      </c>
      <c r="F57" s="21" t="s">
        <v>160</v>
      </c>
      <c r="G57" s="21" t="s">
        <v>90</v>
      </c>
    </row>
    <row r="58" spans="1:7" ht="15.75" thickBot="1" x14ac:dyDescent="0.3">
      <c r="A58" s="184" t="s">
        <v>121</v>
      </c>
      <c r="B58" s="208" t="s">
        <v>141</v>
      </c>
      <c r="C58" s="209"/>
      <c r="D58" s="210" t="s">
        <v>104</v>
      </c>
      <c r="E58" s="211">
        <f>+E42</f>
        <v>1875</v>
      </c>
      <c r="F58" s="211">
        <f>+F42</f>
        <v>1875</v>
      </c>
      <c r="G58" s="212">
        <f>+G42</f>
        <v>1875</v>
      </c>
    </row>
    <row r="59" spans="1:7" ht="15.75" thickBot="1" x14ac:dyDescent="0.3">
      <c r="B59" s="208" t="s">
        <v>154</v>
      </c>
      <c r="C59" s="209"/>
      <c r="D59" s="213" t="s">
        <v>8</v>
      </c>
      <c r="E59" s="214">
        <f>+E51</f>
        <v>1500</v>
      </c>
      <c r="F59" s="214">
        <f t="shared" ref="F59:G59" si="16">+F51</f>
        <v>1950</v>
      </c>
      <c r="G59" s="215">
        <f t="shared" si="16"/>
        <v>2550</v>
      </c>
    </row>
    <row r="60" spans="1:7" ht="15.75" thickBot="1" x14ac:dyDescent="0.3">
      <c r="B60" s="18" t="s">
        <v>158</v>
      </c>
      <c r="C60" s="19"/>
      <c r="D60" s="74" t="s">
        <v>8</v>
      </c>
      <c r="E60" s="75">
        <f>+E59+E58</f>
        <v>3375</v>
      </c>
      <c r="F60" s="75">
        <f t="shared" ref="F60:G60" si="17">+F59+F58</f>
        <v>3825</v>
      </c>
      <c r="G60" s="181">
        <f t="shared" si="17"/>
        <v>4425</v>
      </c>
    </row>
    <row r="61" spans="1:7" ht="15.75" thickBot="1" x14ac:dyDescent="0.3">
      <c r="A61" s="184"/>
      <c r="B61" s="208" t="s">
        <v>153</v>
      </c>
      <c r="C61" s="209"/>
      <c r="D61" s="210" t="s">
        <v>8</v>
      </c>
      <c r="E61" s="211">
        <f>+E56</f>
        <v>550</v>
      </c>
      <c r="F61" s="211">
        <f t="shared" ref="F61:G61" si="18">+F56</f>
        <v>550</v>
      </c>
      <c r="G61" s="212">
        <f t="shared" si="18"/>
        <v>550</v>
      </c>
    </row>
    <row r="62" spans="1:7" ht="15.75" thickBot="1" x14ac:dyDescent="0.3">
      <c r="B62" s="18" t="s">
        <v>159</v>
      </c>
      <c r="C62" s="19"/>
      <c r="D62" s="178" t="s">
        <v>8</v>
      </c>
      <c r="E62" s="179">
        <f>+E60-E61</f>
        <v>2825</v>
      </c>
      <c r="F62" s="179">
        <f t="shared" ref="F62:G62" si="19">+F60-F61</f>
        <v>3275</v>
      </c>
      <c r="G62" s="180">
        <f t="shared" si="19"/>
        <v>3875</v>
      </c>
    </row>
    <row r="63" spans="1:7" ht="15.75" thickBot="1" x14ac:dyDescent="0.3">
      <c r="B63" s="72" t="s">
        <v>166</v>
      </c>
      <c r="C63" s="73"/>
      <c r="D63" s="74" t="s">
        <v>15</v>
      </c>
      <c r="E63" s="75">
        <f>+E62/$E$6</f>
        <v>37.171052631578945</v>
      </c>
      <c r="F63" s="75">
        <f t="shared" ref="F63:G63" si="20">+F62/$E$6</f>
        <v>43.092105263157897</v>
      </c>
      <c r="G63" s="181">
        <f t="shared" si="20"/>
        <v>50.986842105263158</v>
      </c>
    </row>
    <row r="64" spans="1:7" ht="15.75" thickBot="1" x14ac:dyDescent="0.3">
      <c r="B64" s="72" t="s">
        <v>167</v>
      </c>
      <c r="C64" s="73"/>
      <c r="D64" s="74" t="s">
        <v>34</v>
      </c>
      <c r="E64" s="76">
        <f>+E63/25</f>
        <v>1.4868421052631577</v>
      </c>
      <c r="F64" s="76">
        <f t="shared" ref="F64:G64" si="21">+F63/25</f>
        <v>1.7236842105263159</v>
      </c>
      <c r="G64" s="182">
        <f t="shared" si="21"/>
        <v>2.0394736842105261</v>
      </c>
    </row>
    <row r="65" spans="1:8" ht="6" customHeight="1" thickBot="1" x14ac:dyDescent="0.3"/>
    <row r="66" spans="1:8" x14ac:dyDescent="0.25">
      <c r="A66" s="184" t="s">
        <v>117</v>
      </c>
      <c r="B66" s="2" t="s">
        <v>183</v>
      </c>
      <c r="C66" s="3"/>
      <c r="D66" s="37" t="s">
        <v>29</v>
      </c>
      <c r="E66" s="186">
        <v>5</v>
      </c>
      <c r="F66" s="187">
        <v>5</v>
      </c>
      <c r="G66" s="188">
        <v>5</v>
      </c>
      <c r="H66" t="s">
        <v>186</v>
      </c>
    </row>
    <row r="67" spans="1:8" x14ac:dyDescent="0.25">
      <c r="B67" s="4" t="s">
        <v>118</v>
      </c>
      <c r="C67" s="8"/>
      <c r="D67" s="35" t="s">
        <v>28</v>
      </c>
      <c r="E67" s="82">
        <f>+E8</f>
        <v>8</v>
      </c>
      <c r="F67" s="82">
        <f>+E67</f>
        <v>8</v>
      </c>
      <c r="G67" s="83">
        <f>+E67</f>
        <v>8</v>
      </c>
    </row>
    <row r="68" spans="1:8" ht="15.75" thickBot="1" x14ac:dyDescent="0.3">
      <c r="B68" s="4" t="s">
        <v>119</v>
      </c>
      <c r="C68" s="5"/>
      <c r="D68" s="17" t="s">
        <v>15</v>
      </c>
      <c r="E68" s="185">
        <f>+E66*E67</f>
        <v>40</v>
      </c>
      <c r="F68" s="82">
        <f t="shared" ref="F68" si="22">+F66*F67</f>
        <v>40</v>
      </c>
      <c r="G68" s="83">
        <f t="shared" ref="G68" si="23">+G66*G67</f>
        <v>40</v>
      </c>
    </row>
    <row r="69" spans="1:8" ht="15.75" thickBot="1" x14ac:dyDescent="0.3">
      <c r="B69" s="18" t="s">
        <v>35</v>
      </c>
      <c r="C69" s="19"/>
      <c r="D69" s="178" t="s">
        <v>8</v>
      </c>
      <c r="E69" s="179">
        <f>+E68*$E$6</f>
        <v>3040</v>
      </c>
      <c r="F69" s="179">
        <f t="shared" ref="F69" si="24">+F68*$E$6</f>
        <v>3040</v>
      </c>
      <c r="G69" s="180">
        <f t="shared" ref="G69" si="25">+G68*$E$6</f>
        <v>3040</v>
      </c>
    </row>
    <row r="70" spans="1:8" ht="6" customHeight="1" thickBot="1" x14ac:dyDescent="0.35">
      <c r="A70" s="56"/>
    </row>
    <row r="71" spans="1:8" ht="15.75" thickBot="1" x14ac:dyDescent="0.3">
      <c r="A71" s="184" t="s">
        <v>120</v>
      </c>
      <c r="B71" s="18" t="s">
        <v>159</v>
      </c>
      <c r="C71" s="19"/>
      <c r="D71" s="178" t="s">
        <v>15</v>
      </c>
      <c r="E71" s="179">
        <f>+E62</f>
        <v>2825</v>
      </c>
      <c r="F71" s="179">
        <f t="shared" ref="F71:G71" si="26">+F62</f>
        <v>3275</v>
      </c>
      <c r="G71" s="180">
        <f t="shared" si="26"/>
        <v>3875</v>
      </c>
    </row>
    <row r="72" spans="1:8" ht="15.75" thickBot="1" x14ac:dyDescent="0.3">
      <c r="B72" s="18" t="s">
        <v>35</v>
      </c>
      <c r="C72" s="19"/>
      <c r="D72" s="178" t="s">
        <v>8</v>
      </c>
      <c r="E72" s="179">
        <f>+E69</f>
        <v>3040</v>
      </c>
      <c r="F72" s="179">
        <f>+F69</f>
        <v>3040</v>
      </c>
      <c r="G72" s="180">
        <f>+G69</f>
        <v>3040</v>
      </c>
    </row>
    <row r="73" spans="1:8" ht="15.75" thickBot="1" x14ac:dyDescent="0.3">
      <c r="B73" s="18" t="s">
        <v>125</v>
      </c>
      <c r="C73" s="19"/>
      <c r="D73" s="178" t="s">
        <v>8</v>
      </c>
      <c r="E73" s="179">
        <f>+E71-E72</f>
        <v>-215</v>
      </c>
      <c r="F73" s="179">
        <f t="shared" ref="F73:G73" si="27">+F71-F72</f>
        <v>235</v>
      </c>
      <c r="G73" s="180">
        <f t="shared" si="27"/>
        <v>835</v>
      </c>
    </row>
    <row r="74" spans="1:8" ht="15.75" thickBot="1" x14ac:dyDescent="0.3">
      <c r="B74" s="72" t="s">
        <v>126</v>
      </c>
      <c r="C74" s="73"/>
      <c r="D74" s="74" t="s">
        <v>15</v>
      </c>
      <c r="E74" s="216">
        <f>+E73/$E$6</f>
        <v>-2.8289473684210527</v>
      </c>
      <c r="F74" s="216">
        <f t="shared" ref="F74:G74" si="28">+F73/$E$6</f>
        <v>3.0921052631578947</v>
      </c>
      <c r="G74" s="217">
        <f t="shared" si="28"/>
        <v>10.986842105263158</v>
      </c>
    </row>
    <row r="75" spans="1:8" ht="15.75" thickBot="1" x14ac:dyDescent="0.3">
      <c r="B75" s="72" t="s">
        <v>124</v>
      </c>
      <c r="C75" s="73"/>
      <c r="D75" s="74" t="s">
        <v>33</v>
      </c>
      <c r="E75" s="179">
        <f>+E73/E9</f>
        <v>-8.6</v>
      </c>
      <c r="F75" s="179">
        <f>+F73/E9</f>
        <v>9.4</v>
      </c>
      <c r="G75" s="180">
        <f>+G73/E9</f>
        <v>33.4</v>
      </c>
    </row>
    <row r="76" spans="1:8" ht="15.75" thickBot="1" x14ac:dyDescent="0.3">
      <c r="B76" s="72" t="s">
        <v>127</v>
      </c>
      <c r="C76" s="73"/>
      <c r="D76" s="74" t="s">
        <v>34</v>
      </c>
      <c r="E76" s="76">
        <f>+E75/$E$6</f>
        <v>-0.1131578947368421</v>
      </c>
      <c r="F76" s="189">
        <f t="shared" ref="F76:G76" si="29">+F75/$E$6</f>
        <v>0.1236842105263158</v>
      </c>
      <c r="G76" s="78">
        <f t="shared" si="29"/>
        <v>0.43947368421052629</v>
      </c>
    </row>
    <row r="77" spans="1:8" x14ac:dyDescent="0.25">
      <c r="D77"/>
    </row>
    <row r="78" spans="1:8" ht="19.5" thickBot="1" x14ac:dyDescent="0.35">
      <c r="A78" s="56" t="s">
        <v>169</v>
      </c>
      <c r="E78" s="21" t="s">
        <v>161</v>
      </c>
      <c r="F78" s="21" t="s">
        <v>160</v>
      </c>
      <c r="G78" s="21" t="s">
        <v>90</v>
      </c>
    </row>
    <row r="79" spans="1:8" ht="15" customHeight="1" x14ac:dyDescent="0.3">
      <c r="A79" s="56"/>
      <c r="B79" s="93" t="s">
        <v>128</v>
      </c>
      <c r="C79" s="94"/>
      <c r="D79" s="100" t="s">
        <v>64</v>
      </c>
      <c r="E79" s="101">
        <f>+(E20+E21+E22)/E19*100/3600*2</f>
        <v>0.45370370370370366</v>
      </c>
      <c r="F79" s="102">
        <f>+(F20+F21+F22)/F19*100/3600*2</f>
        <v>0.40933641975308649</v>
      </c>
      <c r="G79" s="103">
        <f>+(G20+G21+G22)/G19*100/3600*2</f>
        <v>0.2963734567901235</v>
      </c>
    </row>
    <row r="80" spans="1:8" ht="15" customHeight="1" x14ac:dyDescent="0.3">
      <c r="A80" s="56"/>
      <c r="B80" s="190" t="s">
        <v>132</v>
      </c>
      <c r="C80" s="191"/>
      <c r="D80" s="192" t="s">
        <v>131</v>
      </c>
      <c r="E80" s="193">
        <v>80</v>
      </c>
      <c r="F80" s="194">
        <v>100</v>
      </c>
      <c r="G80" s="195">
        <v>100</v>
      </c>
    </row>
    <row r="81" spans="1:10" ht="15" customHeight="1" x14ac:dyDescent="0.3">
      <c r="A81" s="56"/>
      <c r="B81" s="190" t="s">
        <v>135</v>
      </c>
      <c r="C81" s="191"/>
      <c r="D81" s="192" t="s">
        <v>131</v>
      </c>
      <c r="E81" s="193">
        <v>80</v>
      </c>
      <c r="F81" s="194">
        <v>40</v>
      </c>
      <c r="G81" s="195">
        <v>40</v>
      </c>
    </row>
    <row r="82" spans="1:10" ht="15" customHeight="1" x14ac:dyDescent="0.3">
      <c r="A82" s="56"/>
      <c r="B82" s="190" t="s">
        <v>136</v>
      </c>
      <c r="C82" s="191"/>
      <c r="D82" s="192" t="s">
        <v>131</v>
      </c>
      <c r="E82" s="193">
        <v>80</v>
      </c>
      <c r="F82" s="194">
        <v>140</v>
      </c>
      <c r="G82" s="195">
        <v>140</v>
      </c>
    </row>
    <row r="83" spans="1:10" ht="15" customHeight="1" x14ac:dyDescent="0.3">
      <c r="A83" s="56"/>
      <c r="B83" s="190" t="s">
        <v>137</v>
      </c>
      <c r="C83" s="191"/>
      <c r="D83" s="192" t="s">
        <v>42</v>
      </c>
      <c r="E83" s="193" t="s">
        <v>138</v>
      </c>
      <c r="F83" s="196">
        <v>0.5</v>
      </c>
      <c r="G83" s="197">
        <v>1</v>
      </c>
      <c r="H83" t="s">
        <v>178</v>
      </c>
    </row>
    <row r="84" spans="1:10" ht="15" customHeight="1" x14ac:dyDescent="0.3">
      <c r="A84" s="56"/>
      <c r="B84" s="190" t="s">
        <v>133</v>
      </c>
      <c r="C84" s="191"/>
      <c r="D84" s="192" t="s">
        <v>130</v>
      </c>
      <c r="E84" s="97">
        <f>+(E80*15+8*E81+E82)/(24*$E$6*$E$7)</f>
        <v>0.42105263157894735</v>
      </c>
      <c r="F84" s="98">
        <f>+(F80*15+8*F83*F81+8*(1-F83)*F80+F82)/(24*$E$6*$E$7)</f>
        <v>0.48245614035087719</v>
      </c>
      <c r="G84" s="99">
        <f>+(G80*15+8*G83*G81+8*(1-G83)*G80+G82)/(24*$E$6*$E$7)</f>
        <v>0.42982456140350878</v>
      </c>
      <c r="H84" t="s">
        <v>139</v>
      </c>
    </row>
    <row r="85" spans="1:10" ht="15" customHeight="1" x14ac:dyDescent="0.3">
      <c r="A85" s="56"/>
      <c r="B85" s="190" t="s">
        <v>177</v>
      </c>
      <c r="C85" s="191"/>
      <c r="D85" s="192" t="s">
        <v>131</v>
      </c>
      <c r="E85" s="233">
        <f>+E6*E7*E84</f>
        <v>80</v>
      </c>
      <c r="F85" s="234">
        <f>+E6*E7*F84</f>
        <v>91.666666666666671</v>
      </c>
      <c r="G85" s="235">
        <f>+E6*E7*G84</f>
        <v>81.666666666666671</v>
      </c>
      <c r="H85" t="s">
        <v>173</v>
      </c>
    </row>
    <row r="86" spans="1:10" ht="15" customHeight="1" x14ac:dyDescent="0.25">
      <c r="B86" s="95" t="s">
        <v>1</v>
      </c>
      <c r="C86" s="96"/>
      <c r="D86" s="104" t="s">
        <v>21</v>
      </c>
      <c r="E86" s="97">
        <f>2.5*1.2*E84*E79*365*0.024</f>
        <v>5.0203508771929819</v>
      </c>
      <c r="F86" s="98">
        <f t="shared" ref="F86:G86" si="30">2.5*1.2*F84*F79*365*0.024</f>
        <v>5.189954922027292</v>
      </c>
      <c r="G86" s="99">
        <f t="shared" si="30"/>
        <v>3.3477721734892794</v>
      </c>
      <c r="H86" t="s">
        <v>174</v>
      </c>
    </row>
    <row r="87" spans="1:10" ht="15" customHeight="1" x14ac:dyDescent="0.25">
      <c r="B87" s="95" t="s">
        <v>12</v>
      </c>
      <c r="C87" s="96"/>
      <c r="D87" s="104" t="s">
        <v>11</v>
      </c>
      <c r="E87" s="97">
        <f>+E17</f>
        <v>0.17</v>
      </c>
      <c r="F87" s="98">
        <f>+E87</f>
        <v>0.17</v>
      </c>
      <c r="G87" s="99">
        <f>+E87</f>
        <v>0.17</v>
      </c>
      <c r="J87" s="1"/>
    </row>
    <row r="88" spans="1:10" x14ac:dyDescent="0.25">
      <c r="B88" s="4" t="s">
        <v>24</v>
      </c>
      <c r="C88" s="5"/>
      <c r="D88" s="38" t="s">
        <v>15</v>
      </c>
      <c r="E88" s="27">
        <f>+E86*E87</f>
        <v>0.85345964912280703</v>
      </c>
      <c r="F88" s="28">
        <f t="shared" ref="F88:G88" si="31">+F86*F87</f>
        <v>0.88229233674463969</v>
      </c>
      <c r="G88" s="29">
        <f t="shared" si="31"/>
        <v>0.56912126949317754</v>
      </c>
    </row>
    <row r="89" spans="1:10" x14ac:dyDescent="0.25">
      <c r="B89" s="4" t="s">
        <v>25</v>
      </c>
      <c r="C89" s="5"/>
      <c r="D89" s="38" t="s">
        <v>15</v>
      </c>
      <c r="E89" s="27">
        <f t="shared" ref="E89:G90" si="32">+E102/$E$6</f>
        <v>0.16447368421052633</v>
      </c>
      <c r="F89" s="28">
        <f t="shared" si="32"/>
        <v>0.16447368421052633</v>
      </c>
      <c r="G89" s="29">
        <f t="shared" si="32"/>
        <v>0.16447368421052633</v>
      </c>
    </row>
    <row r="90" spans="1:10" x14ac:dyDescent="0.25">
      <c r="B90" s="4" t="s">
        <v>23</v>
      </c>
      <c r="C90" s="5"/>
      <c r="D90" s="38" t="s">
        <v>15</v>
      </c>
      <c r="E90" s="27">
        <f t="shared" si="32"/>
        <v>0</v>
      </c>
      <c r="F90" s="28">
        <f t="shared" si="32"/>
        <v>0</v>
      </c>
      <c r="G90" s="29">
        <f t="shared" si="32"/>
        <v>0</v>
      </c>
    </row>
    <row r="91" spans="1:10" x14ac:dyDescent="0.25">
      <c r="B91" s="54" t="s">
        <v>170</v>
      </c>
      <c r="C91" s="49"/>
      <c r="D91" s="50" t="s">
        <v>15</v>
      </c>
      <c r="E91" s="51">
        <f>+E105/$E$6</f>
        <v>0.39473684210526316</v>
      </c>
      <c r="F91" s="52">
        <f>+F105/$E$6</f>
        <v>0.78947368421052633</v>
      </c>
      <c r="G91" s="53">
        <f>+G105/$E$6</f>
        <v>0.39473684210526316</v>
      </c>
      <c r="H91" t="s">
        <v>3</v>
      </c>
    </row>
    <row r="92" spans="1:10" x14ac:dyDescent="0.25">
      <c r="B92" s="85" t="s">
        <v>82</v>
      </c>
      <c r="C92" s="86"/>
      <c r="D92" s="87" t="s">
        <v>8</v>
      </c>
      <c r="E92" s="27">
        <f>+E107/E6</f>
        <v>0.52631578947368418</v>
      </c>
      <c r="F92" s="171">
        <f>+F107/E6</f>
        <v>0.52631578947368418</v>
      </c>
      <c r="G92" s="172">
        <f>+G107/E6</f>
        <v>0.52631578947368418</v>
      </c>
    </row>
    <row r="93" spans="1:10" ht="15.75" thickBot="1" x14ac:dyDescent="0.3">
      <c r="B93" s="6" t="s">
        <v>26</v>
      </c>
      <c r="C93" s="7"/>
      <c r="D93" s="39" t="s">
        <v>15</v>
      </c>
      <c r="E93" s="43">
        <f>+E109/$E$6</f>
        <v>0.66611842105263153</v>
      </c>
      <c r="F93" s="44">
        <f>+F109/$E$6</f>
        <v>0.75493421052631582</v>
      </c>
      <c r="G93" s="45">
        <f>+G109/$E$6</f>
        <v>0.87335526315789469</v>
      </c>
    </row>
    <row r="94" spans="1:10" ht="15.75" thickBot="1" x14ac:dyDescent="0.3">
      <c r="B94" s="18" t="s">
        <v>2</v>
      </c>
      <c r="C94" s="19"/>
      <c r="D94" s="20" t="s">
        <v>15</v>
      </c>
      <c r="E94" s="76">
        <f>+E88+E89+E90+E91+E93+E92</f>
        <v>2.6051043859649119</v>
      </c>
      <c r="F94" s="77">
        <f>+F88+F89+F90+F91+F93+F92</f>
        <v>3.117489705165692</v>
      </c>
      <c r="G94" s="78">
        <f>+G88+G89+G90+G91+G93+G92</f>
        <v>2.5280028484405457</v>
      </c>
    </row>
    <row r="95" spans="1:10" ht="15.75" thickBot="1" x14ac:dyDescent="0.3">
      <c r="B95" s="57" t="s">
        <v>58</v>
      </c>
      <c r="C95" s="58"/>
      <c r="D95" s="59" t="s">
        <v>15</v>
      </c>
      <c r="E95" s="60">
        <f>+E94-E96</f>
        <v>1.9389859649122805</v>
      </c>
      <c r="F95" s="61">
        <f t="shared" ref="F95:G95" si="33">+F94-F96</f>
        <v>2.3625554946393761</v>
      </c>
      <c r="G95" s="62">
        <f t="shared" si="33"/>
        <v>1.654647585282651</v>
      </c>
      <c r="H95" t="s">
        <v>45</v>
      </c>
    </row>
    <row r="96" spans="1:10" ht="15.75" thickBot="1" x14ac:dyDescent="0.3">
      <c r="B96" s="63" t="s">
        <v>59</v>
      </c>
      <c r="C96" s="64"/>
      <c r="D96" s="59" t="s">
        <v>15</v>
      </c>
      <c r="E96" s="65">
        <f>+E93</f>
        <v>0.66611842105263153</v>
      </c>
      <c r="F96" s="66">
        <f t="shared" ref="F96:G96" si="34">+F93</f>
        <v>0.75493421052631582</v>
      </c>
      <c r="G96" s="67">
        <f t="shared" si="34"/>
        <v>0.87335526315789469</v>
      </c>
      <c r="H96" t="s">
        <v>44</v>
      </c>
    </row>
    <row r="97" spans="1:8" x14ac:dyDescent="0.25">
      <c r="B97" s="31"/>
      <c r="C97" s="31"/>
      <c r="D97" s="32"/>
      <c r="E97" s="33"/>
      <c r="F97" s="33"/>
      <c r="G97" s="33"/>
    </row>
    <row r="98" spans="1:8" ht="19.5" thickBot="1" x14ac:dyDescent="0.35">
      <c r="A98" s="56" t="s">
        <v>43</v>
      </c>
      <c r="E98" s="21" t="s">
        <v>161</v>
      </c>
      <c r="F98" s="21" t="s">
        <v>160</v>
      </c>
      <c r="G98" s="21" t="s">
        <v>90</v>
      </c>
    </row>
    <row r="99" spans="1:8" x14ac:dyDescent="0.25">
      <c r="B99" s="93" t="s">
        <v>0</v>
      </c>
      <c r="C99" s="94"/>
      <c r="D99" s="105" t="s">
        <v>13</v>
      </c>
      <c r="E99" s="106">
        <f>+E86*$E$6</f>
        <v>381.54666666666662</v>
      </c>
      <c r="F99" s="107">
        <f>+F86*$E$6</f>
        <v>394.4365740740742</v>
      </c>
      <c r="G99" s="108">
        <f>+G86*$E$6</f>
        <v>254.43068518518524</v>
      </c>
    </row>
    <row r="100" spans="1:8" ht="15.75" thickBot="1" x14ac:dyDescent="0.3">
      <c r="B100" s="218" t="s">
        <v>12</v>
      </c>
      <c r="C100" s="219"/>
      <c r="D100" s="220" t="s">
        <v>11</v>
      </c>
      <c r="E100" s="221">
        <f>+E17</f>
        <v>0.17</v>
      </c>
      <c r="F100" s="222">
        <f>+E100</f>
        <v>0.17</v>
      </c>
      <c r="G100" s="223">
        <f>+E100</f>
        <v>0.17</v>
      </c>
    </row>
    <row r="101" spans="1:8" x14ac:dyDescent="0.25">
      <c r="B101" s="2" t="s">
        <v>24</v>
      </c>
      <c r="C101" s="3"/>
      <c r="D101" s="37" t="s">
        <v>33</v>
      </c>
      <c r="E101" s="40">
        <f>+E88*$E$6</f>
        <v>64.862933333333331</v>
      </c>
      <c r="F101" s="224">
        <f>+F88*$E$6</f>
        <v>67.054217592592622</v>
      </c>
      <c r="G101" s="225">
        <f>+G88*$E$6</f>
        <v>43.253216481481495</v>
      </c>
    </row>
    <row r="102" spans="1:8" x14ac:dyDescent="0.25">
      <c r="B102" s="4" t="s">
        <v>25</v>
      </c>
      <c r="C102" s="5"/>
      <c r="D102" s="89" t="s">
        <v>33</v>
      </c>
      <c r="E102" s="38">
        <f>+E11/E5</f>
        <v>12.5</v>
      </c>
      <c r="F102" s="13">
        <f t="shared" ref="F102" si="35">200/$E$5</f>
        <v>12.5</v>
      </c>
      <c r="G102" s="17">
        <f>+E102</f>
        <v>12.5</v>
      </c>
      <c r="H102" t="s">
        <v>60</v>
      </c>
    </row>
    <row r="103" spans="1:8" x14ac:dyDescent="0.25">
      <c r="B103" s="4" t="s">
        <v>23</v>
      </c>
      <c r="C103" s="5"/>
      <c r="D103" s="89" t="s">
        <v>33</v>
      </c>
      <c r="E103" s="36">
        <f>+E10/E5</f>
        <v>0</v>
      </c>
      <c r="F103" s="23">
        <f>+E103</f>
        <v>0</v>
      </c>
      <c r="G103" s="46">
        <f>+E103</f>
        <v>0</v>
      </c>
    </row>
    <row r="104" spans="1:8" x14ac:dyDescent="0.25">
      <c r="B104" s="4" t="s">
        <v>40</v>
      </c>
      <c r="C104" s="5"/>
      <c r="D104" s="89" t="s">
        <v>41</v>
      </c>
      <c r="E104" s="150">
        <v>12</v>
      </c>
      <c r="F104" s="151">
        <v>24</v>
      </c>
      <c r="G104" s="152">
        <v>12</v>
      </c>
    </row>
    <row r="105" spans="1:8" x14ac:dyDescent="0.25">
      <c r="B105" s="54" t="s">
        <v>170</v>
      </c>
      <c r="C105" s="48"/>
      <c r="D105" s="90" t="s">
        <v>33</v>
      </c>
      <c r="E105" s="36">
        <f>+E104*$E$12/$E$5</f>
        <v>30</v>
      </c>
      <c r="F105" s="23">
        <f t="shared" ref="F105:G105" si="36">+F104*$E$12/$E$5</f>
        <v>60</v>
      </c>
      <c r="G105" s="46">
        <f t="shared" si="36"/>
        <v>30</v>
      </c>
    </row>
    <row r="106" spans="1:8" x14ac:dyDescent="0.25">
      <c r="B106" s="85" t="s">
        <v>176</v>
      </c>
      <c r="C106" s="86"/>
      <c r="D106" s="87" t="s">
        <v>84</v>
      </c>
      <c r="E106" s="150">
        <v>400</v>
      </c>
      <c r="F106" s="151">
        <v>400</v>
      </c>
      <c r="G106" s="152">
        <v>400</v>
      </c>
    </row>
    <row r="107" spans="1:8" x14ac:dyDescent="0.25">
      <c r="B107" s="85" t="s">
        <v>83</v>
      </c>
      <c r="C107" s="86"/>
      <c r="D107" s="87" t="s">
        <v>8</v>
      </c>
      <c r="E107" s="36">
        <f>+E106/10</f>
        <v>40</v>
      </c>
      <c r="F107" s="23">
        <f>+F106/10</f>
        <v>40</v>
      </c>
      <c r="G107" s="46">
        <f>+G106/10</f>
        <v>40</v>
      </c>
    </row>
    <row r="108" spans="1:8" x14ac:dyDescent="0.25">
      <c r="B108" s="85" t="s">
        <v>129</v>
      </c>
      <c r="C108" s="86"/>
      <c r="D108" s="87" t="s">
        <v>42</v>
      </c>
      <c r="E108" s="243">
        <v>1.4999999999999999E-2</v>
      </c>
      <c r="F108" s="244">
        <v>1.4999999999999999E-2</v>
      </c>
      <c r="G108" s="245">
        <v>1.4999999999999999E-2</v>
      </c>
    </row>
    <row r="109" spans="1:8" ht="15.75" thickBot="1" x14ac:dyDescent="0.3">
      <c r="B109" s="6" t="s">
        <v>26</v>
      </c>
      <c r="C109" s="7"/>
      <c r="D109" s="88" t="s">
        <v>33</v>
      </c>
      <c r="E109" s="36">
        <f>+E60*E108</f>
        <v>50.625</v>
      </c>
      <c r="F109" s="23">
        <f>+F60*F108</f>
        <v>57.375</v>
      </c>
      <c r="G109" s="46">
        <f>+G60*G108</f>
        <v>66.375</v>
      </c>
    </row>
    <row r="110" spans="1:8" ht="15.75" thickBot="1" x14ac:dyDescent="0.3">
      <c r="B110" s="11" t="s">
        <v>67</v>
      </c>
      <c r="C110" s="12"/>
      <c r="D110" s="79" t="s">
        <v>33</v>
      </c>
      <c r="E110" s="24">
        <f>+E101+E102+E103+E105+E109+E107</f>
        <v>197.98793333333333</v>
      </c>
      <c r="F110" s="25">
        <f>+F101+F102+F103+F105+F109+F107</f>
        <v>236.92921759259264</v>
      </c>
      <c r="G110" s="26">
        <f>+G101+G102+G103+G105+G109+G107</f>
        <v>192.1282164814815</v>
      </c>
    </row>
    <row r="111" spans="1:8" ht="15.75" thickBot="1" x14ac:dyDescent="0.3">
      <c r="B111" s="57" t="s">
        <v>58</v>
      </c>
      <c r="C111" s="58"/>
      <c r="D111" s="59" t="s">
        <v>33</v>
      </c>
      <c r="E111" s="226">
        <f>+E95*$E$6</f>
        <v>147.36293333333333</v>
      </c>
      <c r="F111" s="226">
        <f>+F95*$E$6</f>
        <v>179.55421759259258</v>
      </c>
      <c r="G111" s="226">
        <f>+G95*$E$6</f>
        <v>125.75321648148147</v>
      </c>
      <c r="H111" t="s">
        <v>45</v>
      </c>
    </row>
    <row r="112" spans="1:8" ht="15.75" thickBot="1" x14ac:dyDescent="0.3">
      <c r="B112" s="63" t="s">
        <v>59</v>
      </c>
      <c r="C112" s="64"/>
      <c r="D112" s="59" t="s">
        <v>33</v>
      </c>
      <c r="E112" s="227">
        <f>+E93*$E$6</f>
        <v>50.624999999999993</v>
      </c>
      <c r="F112" s="227">
        <f>+F93*$E$6</f>
        <v>57.375</v>
      </c>
      <c r="G112" s="227">
        <f>+G93*$E$6</f>
        <v>66.375</v>
      </c>
      <c r="H112" t="s">
        <v>44</v>
      </c>
    </row>
    <row r="113" spans="1:8" ht="15.75" thickBot="1" x14ac:dyDescent="0.3">
      <c r="B113" s="11" t="s">
        <v>31</v>
      </c>
      <c r="C113" s="12"/>
      <c r="D113" s="79" t="s">
        <v>34</v>
      </c>
      <c r="E113" s="80">
        <f>+E110/$E$6</f>
        <v>2.6051043859649123</v>
      </c>
      <c r="F113" s="77">
        <f t="shared" ref="F113:G113" si="37">+F110/$E$6</f>
        <v>3.1174897051656925</v>
      </c>
      <c r="G113" s="81">
        <f t="shared" si="37"/>
        <v>2.5280028484405461</v>
      </c>
    </row>
    <row r="114" spans="1:8" x14ac:dyDescent="0.25">
      <c r="B114" s="31"/>
      <c r="C114" s="31"/>
      <c r="D114" s="32"/>
      <c r="E114" s="33"/>
      <c r="F114" s="33"/>
      <c r="G114" s="33"/>
    </row>
    <row r="115" spans="1:8" x14ac:dyDescent="0.25">
      <c r="B115" s="31"/>
      <c r="C115" s="31"/>
      <c r="D115" s="32"/>
      <c r="E115" s="33"/>
      <c r="F115" s="33"/>
      <c r="G115" s="33"/>
    </row>
    <row r="116" spans="1:8" x14ac:dyDescent="0.25">
      <c r="B116" s="31"/>
      <c r="C116" s="31"/>
      <c r="D116" s="32"/>
      <c r="E116" s="33"/>
      <c r="F116" s="33"/>
      <c r="G116" s="33"/>
    </row>
    <row r="117" spans="1:8" ht="19.5" thickBot="1" x14ac:dyDescent="0.35">
      <c r="A117" s="56" t="s">
        <v>46</v>
      </c>
      <c r="E117" s="21" t="s">
        <v>161</v>
      </c>
      <c r="F117" s="21" t="s">
        <v>160</v>
      </c>
      <c r="G117" s="21" t="s">
        <v>90</v>
      </c>
    </row>
    <row r="118" spans="1:8" x14ac:dyDescent="0.25">
      <c r="B118" s="93" t="s">
        <v>4</v>
      </c>
      <c r="C118" s="94"/>
      <c r="D118" s="100" t="s">
        <v>7</v>
      </c>
      <c r="E118" s="160">
        <v>12</v>
      </c>
      <c r="F118" s="161">
        <v>14</v>
      </c>
      <c r="G118" s="162">
        <v>16</v>
      </c>
    </row>
    <row r="119" spans="1:8" x14ac:dyDescent="0.25">
      <c r="B119" s="95" t="s">
        <v>10</v>
      </c>
      <c r="C119" s="96"/>
      <c r="D119" s="104" t="s">
        <v>11</v>
      </c>
      <c r="E119" s="97">
        <f>+E16</f>
        <v>0.09</v>
      </c>
      <c r="F119" s="98">
        <f>+E119</f>
        <v>0.09</v>
      </c>
      <c r="G119" s="99">
        <f>+E119</f>
        <v>0.09</v>
      </c>
    </row>
    <row r="120" spans="1:8" x14ac:dyDescent="0.25">
      <c r="B120" s="4" t="s">
        <v>9</v>
      </c>
      <c r="C120" s="5"/>
      <c r="D120" s="38" t="s">
        <v>32</v>
      </c>
      <c r="E120" s="27">
        <f>+E118*E119*1.2</f>
        <v>1.296</v>
      </c>
      <c r="F120" s="28">
        <f>+F118*F119*1.2</f>
        <v>1.512</v>
      </c>
      <c r="G120" s="29">
        <f>+G118*G119*1.2</f>
        <v>1.728</v>
      </c>
    </row>
    <row r="121" spans="1:8" ht="15.75" thickBot="1" x14ac:dyDescent="0.3">
      <c r="B121" s="6" t="s">
        <v>5</v>
      </c>
      <c r="C121" s="7"/>
      <c r="D121" s="109" t="s">
        <v>32</v>
      </c>
      <c r="E121" s="43">
        <f>+$E$13*1.2</f>
        <v>1.68</v>
      </c>
      <c r="F121" s="44">
        <f t="shared" ref="F121:G121" si="38">+$E$13*1.2</f>
        <v>1.68</v>
      </c>
      <c r="G121" s="45">
        <f t="shared" si="38"/>
        <v>1.68</v>
      </c>
      <c r="H121" t="s">
        <v>49</v>
      </c>
    </row>
    <row r="122" spans="1:8" ht="15.75" thickBot="1" x14ac:dyDescent="0.3">
      <c r="B122" s="110" t="s">
        <v>18</v>
      </c>
      <c r="C122" s="111"/>
      <c r="D122" s="112" t="s">
        <v>34</v>
      </c>
      <c r="E122" s="113">
        <f>+E121+E120</f>
        <v>2.976</v>
      </c>
      <c r="F122" s="114">
        <f>+F121+F120</f>
        <v>3.1920000000000002</v>
      </c>
      <c r="G122" s="115">
        <f>+G121+G120</f>
        <v>3.4079999999999999</v>
      </c>
    </row>
    <row r="123" spans="1:8" x14ac:dyDescent="0.25">
      <c r="B123" s="120"/>
      <c r="C123" s="120"/>
      <c r="D123" s="121"/>
      <c r="E123" s="122"/>
      <c r="F123" s="122"/>
      <c r="G123" s="122"/>
    </row>
    <row r="124" spans="1:8" ht="19.5" thickBot="1" x14ac:dyDescent="0.35">
      <c r="A124" s="56" t="s">
        <v>56</v>
      </c>
      <c r="E124" s="21" t="s">
        <v>161</v>
      </c>
      <c r="F124" s="21" t="s">
        <v>160</v>
      </c>
      <c r="G124" s="21" t="s">
        <v>90</v>
      </c>
    </row>
    <row r="125" spans="1:8" x14ac:dyDescent="0.25">
      <c r="B125" s="2" t="s">
        <v>9</v>
      </c>
      <c r="C125" s="3"/>
      <c r="D125" s="14" t="s">
        <v>33</v>
      </c>
      <c r="E125" s="40">
        <f>+E120*$E$6</f>
        <v>98.496000000000009</v>
      </c>
      <c r="F125" s="41">
        <f t="shared" ref="F125:G126" si="39">+F120*$E$6</f>
        <v>114.91200000000001</v>
      </c>
      <c r="G125" s="42">
        <f t="shared" si="39"/>
        <v>131.328</v>
      </c>
    </row>
    <row r="126" spans="1:8" ht="15.75" thickBot="1" x14ac:dyDescent="0.3">
      <c r="B126" s="6" t="s">
        <v>5</v>
      </c>
      <c r="C126" s="7"/>
      <c r="D126" s="15" t="s">
        <v>33</v>
      </c>
      <c r="E126" s="130">
        <f>+E121*$E$6</f>
        <v>127.67999999999999</v>
      </c>
      <c r="F126" s="126">
        <f t="shared" si="39"/>
        <v>127.67999999999999</v>
      </c>
      <c r="G126" s="131">
        <f t="shared" si="39"/>
        <v>127.67999999999999</v>
      </c>
      <c r="H126" t="s">
        <v>49</v>
      </c>
    </row>
    <row r="127" spans="1:8" ht="15.75" thickBot="1" x14ac:dyDescent="0.3">
      <c r="B127" s="123" t="s">
        <v>18</v>
      </c>
      <c r="C127" s="124"/>
      <c r="D127" s="125" t="s">
        <v>33</v>
      </c>
      <c r="E127" s="127">
        <f>+E126+E125</f>
        <v>226.17599999999999</v>
      </c>
      <c r="F127" s="128">
        <f>+F126+F125</f>
        <v>242.59199999999998</v>
      </c>
      <c r="G127" s="129">
        <f>+G126+G125</f>
        <v>259.00799999999998</v>
      </c>
    </row>
    <row r="129" spans="1:8" ht="19.5" thickBot="1" x14ac:dyDescent="0.35">
      <c r="A129" s="56" t="s">
        <v>68</v>
      </c>
      <c r="E129" s="21" t="s">
        <v>161</v>
      </c>
      <c r="F129" s="21" t="s">
        <v>160</v>
      </c>
      <c r="G129" s="21" t="s">
        <v>90</v>
      </c>
    </row>
    <row r="130" spans="1:8" x14ac:dyDescent="0.25">
      <c r="B130" s="2" t="s">
        <v>19</v>
      </c>
      <c r="C130" s="3"/>
      <c r="D130" s="14" t="s">
        <v>32</v>
      </c>
      <c r="E130" s="118">
        <f t="shared" ref="E130:G131" si="40">+E120-E95</f>
        <v>-0.64298596491228044</v>
      </c>
      <c r="F130" s="116">
        <f t="shared" si="40"/>
        <v>-0.85055549463937608</v>
      </c>
      <c r="G130" s="117">
        <f t="shared" si="40"/>
        <v>7.335241471734899E-2</v>
      </c>
      <c r="H130" t="s">
        <v>87</v>
      </c>
    </row>
    <row r="131" spans="1:8" ht="15.75" thickBot="1" x14ac:dyDescent="0.3">
      <c r="B131" s="6" t="s">
        <v>57</v>
      </c>
      <c r="C131" s="7"/>
      <c r="D131" s="15" t="s">
        <v>32</v>
      </c>
      <c r="E131" s="43">
        <f t="shared" si="40"/>
        <v>1.0138815789473683</v>
      </c>
      <c r="F131" s="44">
        <f t="shared" si="40"/>
        <v>0.92506578947368412</v>
      </c>
      <c r="G131" s="45">
        <f t="shared" si="40"/>
        <v>0.80664473684210525</v>
      </c>
      <c r="H131" t="s">
        <v>86</v>
      </c>
    </row>
    <row r="132" spans="1:8" ht="15.75" thickBot="1" x14ac:dyDescent="0.3">
      <c r="B132" s="123" t="s">
        <v>20</v>
      </c>
      <c r="C132" s="133"/>
      <c r="D132" s="112" t="s">
        <v>32</v>
      </c>
      <c r="E132" s="132">
        <f>+E131+E130</f>
        <v>0.37089561403508786</v>
      </c>
      <c r="F132" s="114">
        <f t="shared" ref="F132" si="41">+F131+F130</f>
        <v>7.4510294834308044E-2</v>
      </c>
      <c r="G132" s="115">
        <f>+G131+G130</f>
        <v>0.87999715155945424</v>
      </c>
    </row>
    <row r="134" spans="1:8" ht="19.5" thickBot="1" x14ac:dyDescent="0.35">
      <c r="A134" s="56" t="s">
        <v>69</v>
      </c>
      <c r="E134" s="21" t="s">
        <v>161</v>
      </c>
      <c r="F134" s="21" t="s">
        <v>160</v>
      </c>
      <c r="G134" s="21" t="s">
        <v>90</v>
      </c>
    </row>
    <row r="135" spans="1:8" x14ac:dyDescent="0.25">
      <c r="B135" s="2" t="s">
        <v>19</v>
      </c>
      <c r="C135" s="3"/>
      <c r="D135" s="14" t="s">
        <v>33</v>
      </c>
      <c r="E135" s="40">
        <f t="shared" ref="E135:G136" si="42">+E125-E111</f>
        <v>-48.866933333333321</v>
      </c>
      <c r="F135" s="40">
        <f t="shared" si="42"/>
        <v>-64.642217592592573</v>
      </c>
      <c r="G135" s="40">
        <f t="shared" si="42"/>
        <v>5.5747835185185295</v>
      </c>
      <c r="H135" t="s">
        <v>27</v>
      </c>
    </row>
    <row r="136" spans="1:8" ht="15.75" thickBot="1" x14ac:dyDescent="0.3">
      <c r="B136" s="6" t="s">
        <v>57</v>
      </c>
      <c r="C136" s="7"/>
      <c r="D136" s="15" t="s">
        <v>33</v>
      </c>
      <c r="E136" s="130">
        <f t="shared" si="42"/>
        <v>77.055000000000007</v>
      </c>
      <c r="F136" s="130">
        <f t="shared" si="42"/>
        <v>70.304999999999993</v>
      </c>
      <c r="G136" s="130">
        <f t="shared" si="42"/>
        <v>61.304999999999993</v>
      </c>
      <c r="H136" t="s">
        <v>55</v>
      </c>
    </row>
    <row r="137" spans="1:8" ht="15.75" thickBot="1" x14ac:dyDescent="0.3">
      <c r="B137" s="110" t="s">
        <v>20</v>
      </c>
      <c r="C137" s="119"/>
      <c r="D137" s="112" t="s">
        <v>33</v>
      </c>
      <c r="E137" s="136">
        <f>+E136+E135</f>
        <v>28.188066666666685</v>
      </c>
      <c r="F137" s="128">
        <f t="shared" ref="F137:G137" si="43">+F136+F135</f>
        <v>5.6627824074074198</v>
      </c>
      <c r="G137" s="129">
        <f t="shared" si="43"/>
        <v>66.879783518518522</v>
      </c>
    </row>
    <row r="139" spans="1:8" ht="19.5" thickBot="1" x14ac:dyDescent="0.35">
      <c r="A139" s="56" t="s">
        <v>81</v>
      </c>
      <c r="E139" s="21" t="s">
        <v>161</v>
      </c>
      <c r="F139" s="21" t="s">
        <v>160</v>
      </c>
      <c r="G139" s="21" t="s">
        <v>90</v>
      </c>
    </row>
    <row r="140" spans="1:8" x14ac:dyDescent="0.25">
      <c r="B140" s="2" t="s">
        <v>19</v>
      </c>
      <c r="C140" s="3"/>
      <c r="D140" s="14" t="s">
        <v>32</v>
      </c>
      <c r="E140" s="40">
        <f>+E130*E9</f>
        <v>-16.07464912280701</v>
      </c>
      <c r="F140" s="41">
        <f>+F130*E9</f>
        <v>-21.263887365984402</v>
      </c>
      <c r="G140" s="42">
        <f>+G130*E9</f>
        <v>1.8338103679337248</v>
      </c>
      <c r="H140" t="s">
        <v>27</v>
      </c>
    </row>
    <row r="141" spans="1:8" ht="15.75" thickBot="1" x14ac:dyDescent="0.3">
      <c r="B141" s="6" t="s">
        <v>57</v>
      </c>
      <c r="C141" s="7"/>
      <c r="D141" s="15" t="s">
        <v>32</v>
      </c>
      <c r="E141" s="130">
        <f>+E131*E9</f>
        <v>25.347039473684209</v>
      </c>
      <c r="F141" s="134">
        <f>+F131*E9</f>
        <v>23.126644736842103</v>
      </c>
      <c r="G141" s="135">
        <f>+G131*E9</f>
        <v>20.16611842105263</v>
      </c>
      <c r="H141" t="s">
        <v>55</v>
      </c>
    </row>
    <row r="142" spans="1:8" ht="15.75" thickBot="1" x14ac:dyDescent="0.3">
      <c r="B142" s="110" t="s">
        <v>20</v>
      </c>
      <c r="C142" s="119"/>
      <c r="D142" s="112" t="s">
        <v>32</v>
      </c>
      <c r="E142" s="136">
        <f>+E141+E140</f>
        <v>9.272390350877199</v>
      </c>
      <c r="F142" s="128">
        <f t="shared" ref="F142" si="44">+F141+F140</f>
        <v>1.8627573708577003</v>
      </c>
      <c r="G142" s="129">
        <f>+G141+G140</f>
        <v>21.999928788986356</v>
      </c>
    </row>
    <row r="144" spans="1:8" ht="19.5" thickBot="1" x14ac:dyDescent="0.35">
      <c r="A144" s="56" t="s">
        <v>72</v>
      </c>
      <c r="E144" s="21" t="s">
        <v>161</v>
      </c>
      <c r="F144" s="21" t="s">
        <v>160</v>
      </c>
      <c r="G144" s="21" t="s">
        <v>90</v>
      </c>
    </row>
    <row r="145" spans="1:8" x14ac:dyDescent="0.25">
      <c r="B145" s="2" t="s">
        <v>19</v>
      </c>
      <c r="C145" s="3"/>
      <c r="D145" s="14" t="s">
        <v>33</v>
      </c>
      <c r="E145" s="40">
        <f>+E135*E9</f>
        <v>-1221.6733333333329</v>
      </c>
      <c r="F145" s="41">
        <f>+F135*$E$9</f>
        <v>-1616.0554398148142</v>
      </c>
      <c r="G145" s="42">
        <f>+G135*$E$9</f>
        <v>139.36958796296324</v>
      </c>
      <c r="H145" t="s">
        <v>27</v>
      </c>
    </row>
    <row r="146" spans="1:8" ht="15.75" thickBot="1" x14ac:dyDescent="0.3">
      <c r="B146" s="6" t="s">
        <v>57</v>
      </c>
      <c r="C146" s="7"/>
      <c r="D146" s="15" t="s">
        <v>33</v>
      </c>
      <c r="E146" s="130">
        <f>+E136*$E$9</f>
        <v>1926.3750000000002</v>
      </c>
      <c r="F146" s="134">
        <f>+F136*$E$9</f>
        <v>1757.6249999999998</v>
      </c>
      <c r="G146" s="135">
        <f>+G136*$E$9</f>
        <v>1532.6249999999998</v>
      </c>
      <c r="H146" t="s">
        <v>55</v>
      </c>
    </row>
    <row r="147" spans="1:8" ht="15.75" thickBot="1" x14ac:dyDescent="0.3">
      <c r="B147" s="110" t="s">
        <v>20</v>
      </c>
      <c r="C147" s="119"/>
      <c r="D147" s="112" t="s">
        <v>33</v>
      </c>
      <c r="E147" s="136">
        <f>+E146+E145</f>
        <v>704.70166666666728</v>
      </c>
      <c r="F147" s="128">
        <f t="shared" ref="F147" si="45">+F146+F145</f>
        <v>141.56956018518554</v>
      </c>
      <c r="G147" s="129">
        <f>+G146+G145</f>
        <v>1671.9945879629631</v>
      </c>
    </row>
    <row r="149" spans="1:8" ht="19.5" thickBot="1" x14ac:dyDescent="0.35">
      <c r="A149" s="56" t="s">
        <v>77</v>
      </c>
      <c r="E149" s="21" t="s">
        <v>161</v>
      </c>
      <c r="F149" s="21" t="s">
        <v>160</v>
      </c>
      <c r="G149" s="21" t="s">
        <v>90</v>
      </c>
    </row>
    <row r="150" spans="1:8" x14ac:dyDescent="0.25">
      <c r="B150" s="2" t="s">
        <v>74</v>
      </c>
      <c r="C150" s="3"/>
      <c r="D150" s="142" t="s">
        <v>33</v>
      </c>
      <c r="E150" s="40">
        <f>+E75</f>
        <v>-8.6</v>
      </c>
      <c r="F150" s="41">
        <f>+F75</f>
        <v>9.4</v>
      </c>
      <c r="G150" s="42">
        <f>+G75</f>
        <v>33.4</v>
      </c>
    </row>
    <row r="151" spans="1:8" x14ac:dyDescent="0.25">
      <c r="B151" s="140" t="s">
        <v>75</v>
      </c>
      <c r="C151" s="141"/>
      <c r="D151" s="143" t="s">
        <v>33</v>
      </c>
      <c r="E151" s="36">
        <f>+E110</f>
        <v>197.98793333333333</v>
      </c>
      <c r="F151" s="145">
        <f>+F110</f>
        <v>236.92921759259264</v>
      </c>
      <c r="G151" s="146">
        <f>+G110</f>
        <v>192.1282164814815</v>
      </c>
    </row>
    <row r="152" spans="1:8" ht="15.75" thickBot="1" x14ac:dyDescent="0.3">
      <c r="B152" s="6" t="s">
        <v>76</v>
      </c>
      <c r="C152" s="7"/>
      <c r="D152" s="39" t="s">
        <v>33</v>
      </c>
      <c r="E152" s="130">
        <f>+E127</f>
        <v>226.17599999999999</v>
      </c>
      <c r="F152" s="134">
        <f t="shared" ref="F152:G152" si="46">+F127</f>
        <v>242.59199999999998</v>
      </c>
      <c r="G152" s="135">
        <f t="shared" si="46"/>
        <v>259.00799999999998</v>
      </c>
    </row>
    <row r="153" spans="1:8" ht="15.75" thickBot="1" x14ac:dyDescent="0.3">
      <c r="B153" s="110" t="s">
        <v>20</v>
      </c>
      <c r="C153" s="119"/>
      <c r="D153" s="112" t="s">
        <v>33</v>
      </c>
      <c r="E153" s="147">
        <f>+E152-E151-E150</f>
        <v>36.788066666666658</v>
      </c>
      <c r="F153" s="148">
        <f t="shared" ref="F153:G153" si="47">+F152-F151-F150</f>
        <v>-3.7372175925926516</v>
      </c>
      <c r="G153" s="149">
        <f t="shared" si="47"/>
        <v>33.479783518518481</v>
      </c>
    </row>
    <row r="155" spans="1:8" ht="19.5" thickBot="1" x14ac:dyDescent="0.35">
      <c r="A155" s="56" t="s">
        <v>78</v>
      </c>
      <c r="E155" s="21" t="s">
        <v>161</v>
      </c>
      <c r="F155" s="21" t="s">
        <v>160</v>
      </c>
      <c r="G155" s="21" t="s">
        <v>90</v>
      </c>
    </row>
    <row r="156" spans="1:8" x14ac:dyDescent="0.25">
      <c r="B156" s="2" t="s">
        <v>74</v>
      </c>
      <c r="C156" s="3"/>
      <c r="D156" s="142" t="s">
        <v>32</v>
      </c>
      <c r="E156" s="118">
        <f>+E76</f>
        <v>-0.1131578947368421</v>
      </c>
      <c r="F156" s="116">
        <f>+F76</f>
        <v>0.1236842105263158</v>
      </c>
      <c r="G156" s="117">
        <f>+G76</f>
        <v>0.43947368421052629</v>
      </c>
    </row>
    <row r="157" spans="1:8" x14ac:dyDescent="0.25">
      <c r="B157" s="140" t="s">
        <v>75</v>
      </c>
      <c r="C157" s="141"/>
      <c r="D157" s="143" t="s">
        <v>32</v>
      </c>
      <c r="E157" s="27">
        <f>+E94</f>
        <v>2.6051043859649119</v>
      </c>
      <c r="F157" s="28">
        <f>+F94</f>
        <v>3.117489705165692</v>
      </c>
      <c r="G157" s="29">
        <f>+G94</f>
        <v>2.5280028484405457</v>
      </c>
    </row>
    <row r="158" spans="1:8" ht="15.75" thickBot="1" x14ac:dyDescent="0.3">
      <c r="B158" s="6" t="s">
        <v>76</v>
      </c>
      <c r="C158" s="7"/>
      <c r="D158" s="39" t="s">
        <v>32</v>
      </c>
      <c r="E158" s="43">
        <f>+E122</f>
        <v>2.976</v>
      </c>
      <c r="F158" s="44">
        <f t="shared" ref="F158:G158" si="48">+F122</f>
        <v>3.1920000000000002</v>
      </c>
      <c r="G158" s="45">
        <f t="shared" si="48"/>
        <v>3.4079999999999999</v>
      </c>
    </row>
    <row r="159" spans="1:8" ht="15.75" thickBot="1" x14ac:dyDescent="0.3">
      <c r="B159" s="110" t="s">
        <v>20</v>
      </c>
      <c r="C159" s="119"/>
      <c r="D159" s="112" t="s">
        <v>32</v>
      </c>
      <c r="E159" s="113">
        <f>+E158-E157-E156</f>
        <v>0.48405350877193021</v>
      </c>
      <c r="F159" s="132">
        <f t="shared" ref="F159:G159" si="49">+F158-F157-F156</f>
        <v>-4.9173915692007644E-2</v>
      </c>
      <c r="G159" s="144">
        <f t="shared" si="49"/>
        <v>0.44052346734892794</v>
      </c>
    </row>
    <row r="161" spans="1:7" ht="19.5" thickBot="1" x14ac:dyDescent="0.35">
      <c r="A161" s="56" t="s">
        <v>79</v>
      </c>
      <c r="E161" s="21" t="s">
        <v>161</v>
      </c>
      <c r="F161" s="21" t="s">
        <v>160</v>
      </c>
      <c r="G161" s="21" t="s">
        <v>90</v>
      </c>
    </row>
    <row r="162" spans="1:7" x14ac:dyDescent="0.25">
      <c r="B162" s="2" t="s">
        <v>74</v>
      </c>
      <c r="C162" s="3"/>
      <c r="D162" s="142" t="s">
        <v>33</v>
      </c>
      <c r="E162" s="40">
        <f>+E73</f>
        <v>-215</v>
      </c>
      <c r="F162" s="41">
        <f>+F73</f>
        <v>235</v>
      </c>
      <c r="G162" s="42">
        <f>+G73</f>
        <v>835</v>
      </c>
    </row>
    <row r="163" spans="1:7" x14ac:dyDescent="0.25">
      <c r="B163" s="140" t="s">
        <v>75</v>
      </c>
      <c r="C163" s="141"/>
      <c r="D163" s="143" t="s">
        <v>33</v>
      </c>
      <c r="E163" s="36">
        <f>+E151*E9</f>
        <v>4949.6983333333337</v>
      </c>
      <c r="F163" s="145">
        <f>+F151*E9</f>
        <v>5923.2304398148162</v>
      </c>
      <c r="G163" s="146">
        <f>+G151*E9</f>
        <v>4803.2054120370376</v>
      </c>
    </row>
    <row r="164" spans="1:7" ht="15.75" thickBot="1" x14ac:dyDescent="0.3">
      <c r="B164" s="6" t="s">
        <v>76</v>
      </c>
      <c r="C164" s="7"/>
      <c r="D164" s="39" t="s">
        <v>33</v>
      </c>
      <c r="E164" s="130">
        <f>+E152*E9</f>
        <v>5654.4</v>
      </c>
      <c r="F164" s="134">
        <f>+F152*E9</f>
        <v>6064.7999999999993</v>
      </c>
      <c r="G164" s="135">
        <f>+G152*E9</f>
        <v>6475.2</v>
      </c>
    </row>
    <row r="165" spans="1:7" ht="15.75" thickBot="1" x14ac:dyDescent="0.3">
      <c r="B165" s="110" t="s">
        <v>20</v>
      </c>
      <c r="C165" s="119"/>
      <c r="D165" s="112" t="s">
        <v>33</v>
      </c>
      <c r="E165" s="147">
        <f>+E164-E163-E162</f>
        <v>919.70166666666591</v>
      </c>
      <c r="F165" s="148">
        <f t="shared" ref="F165:G165" si="50">+F164-F163-F162</f>
        <v>-93.430439814816964</v>
      </c>
      <c r="G165" s="149">
        <f t="shared" si="50"/>
        <v>836.99458796296221</v>
      </c>
    </row>
    <row r="167" spans="1:7" ht="19.5" thickBot="1" x14ac:dyDescent="0.35">
      <c r="A167" s="56" t="s">
        <v>80</v>
      </c>
      <c r="E167" s="21" t="s">
        <v>161</v>
      </c>
      <c r="F167" s="21" t="s">
        <v>160</v>
      </c>
      <c r="G167" s="21" t="s">
        <v>90</v>
      </c>
    </row>
    <row r="168" spans="1:7" x14ac:dyDescent="0.25">
      <c r="B168" s="2" t="s">
        <v>74</v>
      </c>
      <c r="C168" s="3"/>
      <c r="D168" s="142" t="s">
        <v>32</v>
      </c>
      <c r="E168" s="118">
        <f>+E74</f>
        <v>-2.8289473684210527</v>
      </c>
      <c r="F168" s="116">
        <f>+F74</f>
        <v>3.0921052631578947</v>
      </c>
      <c r="G168" s="117">
        <f>+G74</f>
        <v>10.986842105263158</v>
      </c>
    </row>
    <row r="169" spans="1:7" x14ac:dyDescent="0.25">
      <c r="B169" s="140" t="s">
        <v>75</v>
      </c>
      <c r="C169" s="141"/>
      <c r="D169" s="143" t="s">
        <v>32</v>
      </c>
      <c r="E169" s="27">
        <f>+E94*$E$9</f>
        <v>65.127609649122803</v>
      </c>
      <c r="F169" s="28">
        <f>+F94*$E$9</f>
        <v>77.937242629142304</v>
      </c>
      <c r="G169" s="29">
        <f>+G94*$E$9</f>
        <v>63.200071211013643</v>
      </c>
    </row>
    <row r="170" spans="1:7" ht="15.75" thickBot="1" x14ac:dyDescent="0.3">
      <c r="B170" s="6" t="s">
        <v>76</v>
      </c>
      <c r="C170" s="7"/>
      <c r="D170" s="39" t="s">
        <v>32</v>
      </c>
      <c r="E170" s="43">
        <f>+E122*$E$9</f>
        <v>74.400000000000006</v>
      </c>
      <c r="F170" s="44">
        <f t="shared" ref="F170:G170" si="51">+F122*$E$9</f>
        <v>79.800000000000011</v>
      </c>
      <c r="G170" s="45">
        <f t="shared" si="51"/>
        <v>85.2</v>
      </c>
    </row>
    <row r="171" spans="1:7" ht="15.75" thickBot="1" x14ac:dyDescent="0.3">
      <c r="B171" s="110" t="s">
        <v>20</v>
      </c>
      <c r="C171" s="119"/>
      <c r="D171" s="112" t="s">
        <v>32</v>
      </c>
      <c r="E171" s="113">
        <f>+E170-E169-E168</f>
        <v>12.101337719298256</v>
      </c>
      <c r="F171" s="132">
        <f t="shared" ref="F171:G171" si="52">+F170-F169-F168</f>
        <v>-1.2293478923001873</v>
      </c>
      <c r="G171" s="144">
        <f t="shared" si="52"/>
        <v>11.013086683723202</v>
      </c>
    </row>
    <row r="173" spans="1:7" ht="19.5" thickBot="1" x14ac:dyDescent="0.35">
      <c r="A173" s="56" t="s">
        <v>53</v>
      </c>
      <c r="E173" s="21" t="s">
        <v>161</v>
      </c>
      <c r="F173" s="21" t="s">
        <v>160</v>
      </c>
      <c r="G173" s="21" t="s">
        <v>90</v>
      </c>
    </row>
    <row r="174" spans="1:7" x14ac:dyDescent="0.25">
      <c r="B174" s="2" t="s">
        <v>50</v>
      </c>
      <c r="C174" s="68"/>
      <c r="D174" s="22"/>
      <c r="E174" s="163"/>
      <c r="F174" s="163"/>
      <c r="G174" s="164"/>
    </row>
    <row r="175" spans="1:7" x14ac:dyDescent="0.25">
      <c r="B175" s="4" t="s">
        <v>175</v>
      </c>
      <c r="C175" s="1"/>
      <c r="D175" s="13"/>
      <c r="E175" s="165"/>
      <c r="F175" s="165"/>
      <c r="G175" s="166"/>
    </row>
    <row r="176" spans="1:7" x14ac:dyDescent="0.25">
      <c r="B176" s="4" t="s">
        <v>54</v>
      </c>
      <c r="C176" s="1"/>
      <c r="D176" s="13"/>
      <c r="E176" s="165"/>
      <c r="F176" s="165"/>
      <c r="G176" s="166"/>
    </row>
    <row r="177" spans="2:7" x14ac:dyDescent="0.25">
      <c r="B177" s="4" t="s">
        <v>179</v>
      </c>
      <c r="C177" s="1"/>
      <c r="D177" s="13"/>
      <c r="E177" s="165"/>
      <c r="F177" s="165"/>
      <c r="G177" s="166"/>
    </row>
    <row r="178" spans="2:7" x14ac:dyDescent="0.25">
      <c r="B178" s="4" t="s">
        <v>163</v>
      </c>
      <c r="C178" s="1"/>
      <c r="D178" s="13"/>
      <c r="E178" s="165"/>
      <c r="F178" s="165"/>
      <c r="G178" s="166"/>
    </row>
    <row r="179" spans="2:7" x14ac:dyDescent="0.25">
      <c r="B179" s="4" t="s">
        <v>88</v>
      </c>
      <c r="C179" s="1"/>
      <c r="D179" s="13"/>
      <c r="E179" s="165"/>
      <c r="F179" s="165"/>
      <c r="G179" s="166"/>
    </row>
    <row r="180" spans="2:7" x14ac:dyDescent="0.25">
      <c r="B180" s="4" t="s">
        <v>51</v>
      </c>
      <c r="C180" s="1"/>
      <c r="D180" s="13"/>
      <c r="E180" s="167"/>
      <c r="F180" s="167"/>
      <c r="G180" s="168"/>
    </row>
    <row r="181" spans="2:7" ht="15.75" thickBot="1" x14ac:dyDescent="0.3">
      <c r="B181" s="6" t="s">
        <v>52</v>
      </c>
      <c r="C181" s="70"/>
      <c r="D181" s="30"/>
      <c r="E181" s="169"/>
      <c r="F181" s="169"/>
      <c r="G181" s="170"/>
    </row>
    <row r="182" spans="2:7" x14ac:dyDescent="0.25">
      <c r="D182"/>
    </row>
  </sheetData>
  <sheetProtection password="CB73" sheet="1" objects="1" scenarios="1"/>
  <conditionalFormatting sqref="E122:G122">
    <cfRule type="cellIs" dxfId="9" priority="10" operator="lessThan">
      <formula>0</formula>
    </cfRule>
  </conditionalFormatting>
  <conditionalFormatting sqref="E127:G127">
    <cfRule type="cellIs" dxfId="8" priority="9" operator="lessThan">
      <formula>0</formula>
    </cfRule>
  </conditionalFormatting>
  <conditionalFormatting sqref="E132:G132">
    <cfRule type="cellIs" dxfId="7" priority="8" operator="lessThan">
      <formula>0</formula>
    </cfRule>
  </conditionalFormatting>
  <conditionalFormatting sqref="E137:G137">
    <cfRule type="cellIs" dxfId="6" priority="7" operator="lessThan">
      <formula>0</formula>
    </cfRule>
  </conditionalFormatting>
  <conditionalFormatting sqref="E142:G142">
    <cfRule type="cellIs" dxfId="5" priority="6" operator="lessThan">
      <formula>0</formula>
    </cfRule>
  </conditionalFormatting>
  <conditionalFormatting sqref="E147:G147">
    <cfRule type="cellIs" dxfId="4" priority="5" operator="lessThan">
      <formula>0</formula>
    </cfRule>
  </conditionalFormatting>
  <conditionalFormatting sqref="E153:G153">
    <cfRule type="cellIs" dxfId="3" priority="4" operator="lessThan">
      <formula>0</formula>
    </cfRule>
  </conditionalFormatting>
  <conditionalFormatting sqref="E159:G159">
    <cfRule type="cellIs" dxfId="2" priority="1" operator="lessThan">
      <formula>0</formula>
    </cfRule>
  </conditionalFormatting>
  <conditionalFormatting sqref="E165:G165">
    <cfRule type="cellIs" dxfId="1" priority="3" operator="lessThan">
      <formula>0</formula>
    </cfRule>
  </conditionalFormatting>
  <conditionalFormatting sqref="E171:G171">
    <cfRule type="cellIs" dxfId="0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39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6" sqref="J36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Invest Ziel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Greml</dc:creator>
  <cp:lastModifiedBy>Andreas Greml</cp:lastModifiedBy>
  <cp:lastPrinted>2015-06-15T21:08:06Z</cp:lastPrinted>
  <dcterms:created xsi:type="dcterms:W3CDTF">2013-11-20T11:36:59Z</dcterms:created>
  <dcterms:modified xsi:type="dcterms:W3CDTF">2017-04-15T18:24:35Z</dcterms:modified>
</cp:coreProperties>
</file>